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4455" windowWidth="19320" windowHeight="8010"/>
  </bookViews>
  <sheets>
    <sheet name="Rozpocet" sheetId="3" r:id="rId1"/>
  </sheets>
  <definedNames>
    <definedName name="CenaK">#REF!</definedName>
    <definedName name="Datum">#REF!</definedName>
    <definedName name="NazevObjektuR">#REF!</definedName>
    <definedName name="NazevStavbyR">#REF!</definedName>
    <definedName name="_xlnm.Print_Titles" localSheetId="0">Rozpocet!$11:$12</definedName>
    <definedName name="PolBeginR">#REF!</definedName>
    <definedName name="StrediskoK">#REF!</definedName>
    <definedName name="ZpracovalK">#REF!</definedName>
  </definedNames>
  <calcPr calcId="125725"/>
</workbook>
</file>

<file path=xl/calcChain.xml><?xml version="1.0" encoding="utf-8"?>
<calcChain xmlns="http://schemas.openxmlformats.org/spreadsheetml/2006/main">
  <c r="E318" i="3"/>
  <c r="E317"/>
  <c r="E316"/>
  <c r="E315"/>
  <c r="E314"/>
  <c r="E313"/>
  <c r="E312"/>
  <c r="E311"/>
  <c r="E310"/>
  <c r="E309"/>
  <c r="E308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5"/>
  <c r="E262"/>
  <c r="E261"/>
  <c r="E260"/>
  <c r="E258"/>
  <c r="E257"/>
  <c r="E256"/>
  <c r="E255"/>
  <c r="E250"/>
  <c r="E248"/>
  <c r="E246"/>
  <c r="E245"/>
  <c r="E244"/>
  <c r="E238"/>
  <c r="E232"/>
  <c r="E228"/>
  <c r="E227"/>
  <c r="E226"/>
  <c r="E225"/>
  <c r="E224"/>
  <c r="E223"/>
  <c r="E219"/>
  <c r="E218"/>
  <c r="E217"/>
  <c r="E216"/>
  <c r="E215"/>
  <c r="E214"/>
  <c r="E213"/>
  <c r="E212"/>
  <c r="E163"/>
  <c r="E162"/>
  <c r="E161"/>
  <c r="E160"/>
  <c r="E159"/>
  <c r="E157"/>
  <c r="E153"/>
  <c r="E152"/>
  <c r="E151"/>
  <c r="E150"/>
  <c r="E148"/>
  <c r="E147"/>
  <c r="E146"/>
  <c r="E145"/>
  <c r="E144"/>
  <c r="E143"/>
  <c r="E142"/>
  <c r="E141"/>
  <c r="E140"/>
  <c r="E139"/>
  <c r="E137"/>
  <c r="E136"/>
  <c r="E135"/>
  <c r="E134"/>
  <c r="E133"/>
  <c r="E132"/>
  <c r="E131"/>
  <c r="E129"/>
  <c r="E127"/>
  <c r="E126"/>
  <c r="E123"/>
  <c r="E122"/>
  <c r="E121"/>
  <c r="E120"/>
  <c r="E119"/>
  <c r="E118"/>
  <c r="E117"/>
  <c r="E116"/>
  <c r="E115"/>
  <c r="E114"/>
  <c r="E113"/>
  <c r="E110"/>
  <c r="E109"/>
  <c r="E108"/>
  <c r="E107"/>
  <c r="E106"/>
  <c r="E105"/>
  <c r="E104"/>
  <c r="E103"/>
  <c r="E102"/>
  <c r="E95"/>
  <c r="E94"/>
  <c r="E90"/>
  <c r="E89"/>
  <c r="E87"/>
  <c r="E85"/>
  <c r="E73"/>
  <c r="E72"/>
  <c r="E71"/>
  <c r="E62"/>
  <c r="E60"/>
  <c r="E58"/>
  <c r="E51"/>
  <c r="E44"/>
  <c r="E36"/>
  <c r="E32"/>
  <c r="E30"/>
  <c r="E29"/>
  <c r="E28"/>
  <c r="E22"/>
  <c r="E20"/>
  <c r="E17"/>
  <c r="F169"/>
  <c r="F167"/>
  <c r="F165"/>
  <c r="H69"/>
  <c r="H24"/>
  <c r="H23"/>
  <c r="H21"/>
  <c r="H19"/>
  <c r="H264"/>
  <c r="H306"/>
  <c r="H222"/>
  <c r="H40"/>
  <c r="H26"/>
  <c r="H25"/>
  <c r="H70"/>
  <c r="H247"/>
  <c r="F220" l="1"/>
  <c r="H208"/>
  <c r="H207"/>
  <c r="H206"/>
  <c r="H205"/>
  <c r="H204"/>
  <c r="H16"/>
  <c r="H15" s="1"/>
  <c r="H82" l="1"/>
  <c r="H81"/>
  <c r="H80"/>
  <c r="H79"/>
  <c r="H78"/>
  <c r="H77"/>
  <c r="H76"/>
  <c r="H75"/>
  <c r="H59" l="1"/>
  <c r="H61"/>
  <c r="H169" l="1"/>
  <c r="H167"/>
  <c r="H165"/>
  <c r="H158"/>
  <c r="H320"/>
  <c r="H319" s="1"/>
  <c r="H254"/>
  <c r="H253" s="1"/>
  <c r="H266"/>
  <c r="H229"/>
  <c r="H252"/>
  <c r="H251"/>
  <c r="H241"/>
  <c r="H240"/>
  <c r="H63"/>
  <c r="H156"/>
  <c r="H154"/>
  <c r="H130"/>
  <c r="H128"/>
  <c r="H93"/>
  <c r="H99"/>
  <c r="H149"/>
  <c r="H138"/>
  <c r="H92"/>
  <c r="H91"/>
  <c r="H83"/>
  <c r="H249"/>
  <c r="H243"/>
  <c r="H231"/>
  <c r="H220"/>
  <c r="H211"/>
  <c r="H210"/>
  <c r="H209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239"/>
  <c r="H237"/>
  <c r="H235"/>
  <c r="H64"/>
  <c r="H57"/>
  <c r="H53"/>
  <c r="H37"/>
  <c r="H35"/>
  <c r="H34"/>
  <c r="H33"/>
  <c r="H31"/>
  <c r="H52"/>
  <c r="H50"/>
  <c r="H45"/>
  <c r="H43"/>
  <c r="H42"/>
  <c r="H66"/>
  <c r="H46"/>
  <c r="H38"/>
  <c r="H39"/>
  <c r="H41"/>
  <c r="H74"/>
  <c r="H164"/>
  <c r="H166"/>
  <c r="H168"/>
  <c r="H170"/>
  <c r="H175"/>
  <c r="H177"/>
  <c r="H172"/>
  <c r="H171" s="1"/>
  <c r="H178"/>
  <c r="H221"/>
  <c r="H263" l="1"/>
  <c r="H234"/>
  <c r="H174"/>
  <c r="H179"/>
  <c r="H68"/>
  <c r="H27"/>
  <c r="H18" s="1"/>
  <c r="H242"/>
  <c r="H233"/>
  <c r="H230" s="1"/>
  <c r="H173" l="1"/>
  <c r="H14"/>
  <c r="H322" s="1"/>
  <c r="H321" l="1"/>
  <c r="H324" l="1"/>
</calcChain>
</file>

<file path=xl/sharedStrings.xml><?xml version="1.0" encoding="utf-8"?>
<sst xmlns="http://schemas.openxmlformats.org/spreadsheetml/2006/main" count="640" uniqueCount="439">
  <si>
    <t>HSV</t>
  </si>
  <si>
    <t>PSV</t>
  </si>
  <si>
    <t>Stavba:</t>
  </si>
  <si>
    <t>Objekt:</t>
  </si>
  <si>
    <t>Část:</t>
  </si>
  <si>
    <t>Objednatel:</t>
  </si>
  <si>
    <t>Zhotovitel:</t>
  </si>
  <si>
    <t>Datum:</t>
  </si>
  <si>
    <t>Popis</t>
  </si>
  <si>
    <t>Cena celkem</t>
  </si>
  <si>
    <t>Celkem</t>
  </si>
  <si>
    <t>JKSO:</t>
  </si>
  <si>
    <t>P.Č.</t>
  </si>
  <si>
    <t>Kód položky</t>
  </si>
  <si>
    <t>MJ</t>
  </si>
  <si>
    <t>Množství celkem</t>
  </si>
  <si>
    <t>Cena jednotková</t>
  </si>
  <si>
    <t>Práce a dodávky HSV</t>
  </si>
  <si>
    <t>6</t>
  </si>
  <si>
    <t>Úpravy povrchu, podlahy, osazení</t>
  </si>
  <si>
    <t>612421432</t>
  </si>
  <si>
    <t>m2</t>
  </si>
  <si>
    <t>620991121</t>
  </si>
  <si>
    <t>9</t>
  </si>
  <si>
    <t>m</t>
  </si>
  <si>
    <t>622421121</t>
  </si>
  <si>
    <t>622431261</t>
  </si>
  <si>
    <t>Ostatní konstrukce a práce-bourání</t>
  </si>
  <si>
    <t>t</t>
  </si>
  <si>
    <t>kus</t>
  </si>
  <si>
    <t>979011111</t>
  </si>
  <si>
    <t>Svislá doprava suti a vybouraných hmot za prvé podlaží</t>
  </si>
  <si>
    <t>979011121</t>
  </si>
  <si>
    <t>Svislá doprava suti a vybouraných hmot ZKD podlaží</t>
  </si>
  <si>
    <t>979081111</t>
  </si>
  <si>
    <t>Odvoz suti a vybouraných hmot na skládku do 1 km</t>
  </si>
  <si>
    <t>979081121</t>
  </si>
  <si>
    <t>979082111</t>
  </si>
  <si>
    <t>Vnitrostaveništní doprava suti a vybouraných hmot do 10 m</t>
  </si>
  <si>
    <t>979082121</t>
  </si>
  <si>
    <t>Vnitrostaveništní doprava suti a vybouraných hmot ZKD 5 m přes 10 m</t>
  </si>
  <si>
    <t>979098191</t>
  </si>
  <si>
    <t>Poplatek za skládku - netříděné</t>
  </si>
  <si>
    <t>99</t>
  </si>
  <si>
    <t>Přesun hmot</t>
  </si>
  <si>
    <t>999281111</t>
  </si>
  <si>
    <t>Práce a dodávky PSV</t>
  </si>
  <si>
    <t>764</t>
  </si>
  <si>
    <t>Konstrukce klempířské</t>
  </si>
  <si>
    <t>764410850</t>
  </si>
  <si>
    <t>Demontáž oplechování parapetu rš do 330 mm</t>
  </si>
  <si>
    <t>764711115</t>
  </si>
  <si>
    <t>998764103</t>
  </si>
  <si>
    <t>Přesun hmot pro konstrukce klempířské v objektech v do 24 m</t>
  </si>
  <si>
    <t>Vnější omítka ostění oken - čerpáno se souhlasem TDI</t>
  </si>
  <si>
    <t>622732212</t>
  </si>
  <si>
    <t xml:space="preserve">Vyrovn povrchu ostění rychletuhnoucí opravnou maltou tl 3cm v š 150 mm po vybourání oken          </t>
  </si>
  <si>
    <t xml:space="preserve">Vyrovnavaci vrstva opravná rychletuhnoucí malta mc š 35 cm, tl. 2 cm, zarovnání parapetů                      </t>
  </si>
  <si>
    <t xml:space="preserve">Armovací tkanina  - perlinka                      </t>
  </si>
  <si>
    <t xml:space="preserve">62247-1116R  </t>
  </si>
  <si>
    <t xml:space="preserve">Úpr vnitř. stěn natažením,    bez materiálu                       </t>
  </si>
  <si>
    <t xml:space="preserve">58596384      </t>
  </si>
  <si>
    <t>Omítková stěrka</t>
  </si>
  <si>
    <t>kg</t>
  </si>
  <si>
    <t>Oprava stávajících vnitřních omítek v rozsahu do 20 %, oprava omítek stěn kolem vnitřních ostění</t>
  </si>
  <si>
    <t>622754111</t>
  </si>
  <si>
    <t>06</t>
  </si>
  <si>
    <t>622752232</t>
  </si>
  <si>
    <t xml:space="preserve">KZS lišta rohová stěnová PVC s tkaninou </t>
  </si>
  <si>
    <t>Izolace proti vodě a vlhkosti</t>
  </si>
  <si>
    <t xml:space="preserve"> spára mezi parapetem a parapetním zdivem - viz DET. Parapetu</t>
  </si>
  <si>
    <t>Těsnění spáry těsnící tmelařskou šňůrou a trvale plastickým přetíratelným tmelem, bez materiálu</t>
  </si>
  <si>
    <t>tuba</t>
  </si>
  <si>
    <t xml:space="preserve">Trval plastický přetíratelný tmel  -4, 5m/1 tuba               </t>
  </si>
  <si>
    <t>Těsnící tmelařská šňůra</t>
  </si>
  <si>
    <t>Spárování silikonem</t>
  </si>
  <si>
    <t>ks</t>
  </si>
  <si>
    <t>parapety oken</t>
  </si>
  <si>
    <t>Oplechování parapetu ocel. pozink. plech rš. 330 mm</t>
  </si>
  <si>
    <t>Výplně otvorů</t>
  </si>
  <si>
    <t xml:space="preserve">C0922         </t>
  </si>
  <si>
    <t>C0921</t>
  </si>
  <si>
    <t>D+M hliníkových horizontálních žaluzií vnitřních, vč. Horního krycího profilu, ruční ovládání plastovým kuličkovým řetízkem. Montáž na rám.</t>
  </si>
  <si>
    <t>01</t>
  </si>
  <si>
    <t>03</t>
  </si>
  <si>
    <t>10</t>
  </si>
  <si>
    <t>07</t>
  </si>
  <si>
    <t>11</t>
  </si>
  <si>
    <t>15</t>
  </si>
  <si>
    <t>D+M Těsnění osazovací spáry dle ČSN 73 0540 - okenní fólie interiérová, okenní fólie exteriérová příp. komprimační páska - viz DET.</t>
  </si>
  <si>
    <t>Kovové stav. doplňkové konstrukce</t>
  </si>
  <si>
    <t>D+M Plochá stěnová spona nerez (např. FD KSF) vč. kotvení do přilehlé žb kce</t>
  </si>
  <si>
    <t>Obklady keramické</t>
  </si>
  <si>
    <t xml:space="preserve">59796067      </t>
  </si>
  <si>
    <t>04</t>
  </si>
  <si>
    <t>parapety</t>
  </si>
  <si>
    <t xml:space="preserve">Obklad  parapetů  a ostění dle výběru investora                                </t>
  </si>
  <si>
    <t xml:space="preserve">Otluč.omítky ven. Ostění - zbývající plochy - čerpáno ppouze se souhlasem TDI        </t>
  </si>
  <si>
    <t>D+M PE dilatační páska tl. 5 mm např. EKOFLEX - těsnění vnitřního parapetu</t>
  </si>
  <si>
    <t xml:space="preserve">Přesun hmot KDK -50m výška -24m                  </t>
  </si>
  <si>
    <t>02</t>
  </si>
  <si>
    <t>08</t>
  </si>
  <si>
    <t>08a</t>
  </si>
  <si>
    <t>14</t>
  </si>
  <si>
    <t>17</t>
  </si>
  <si>
    <t>1,05*2,1</t>
  </si>
  <si>
    <t xml:space="preserve">C96806-2354   </t>
  </si>
  <si>
    <t xml:space="preserve">Rám oken dř dvoj 1m2                             </t>
  </si>
  <si>
    <t xml:space="preserve">C96806-2355   </t>
  </si>
  <si>
    <t xml:space="preserve">Rám oken dř dvoj 2m2                              </t>
  </si>
  <si>
    <t xml:space="preserve">C96806-2356   </t>
  </si>
  <si>
    <t xml:space="preserve">Rám oken dř.dvoj.4m2                              </t>
  </si>
  <si>
    <t xml:space="preserve">C96806-2357   </t>
  </si>
  <si>
    <t xml:space="preserve">Osaz parap desek dřev ale demontáž                             </t>
  </si>
  <si>
    <t>Malby</t>
  </si>
  <si>
    <t>784453661</t>
  </si>
  <si>
    <t>Malby směsi PRIMALEX tekuté disperzní tónované otěruvzdorné dvojnásobné s penetrací místnost v do 3,</t>
  </si>
  <si>
    <t>1.PP</t>
  </si>
  <si>
    <t>1.NP</t>
  </si>
  <si>
    <t>2.NP</t>
  </si>
  <si>
    <t>Nátěry</t>
  </si>
  <si>
    <t>vnitřní ostění</t>
  </si>
  <si>
    <t>0,9*2*0,2</t>
  </si>
  <si>
    <t>Vnitřní omítka stěn vápenná nebo vápenocementová štuková s 1x tkaninou</t>
  </si>
  <si>
    <t>622481113</t>
  </si>
  <si>
    <t>Potažení vnějších stěn sklovláknitým pletivem vypnutým včetně přibití strun</t>
  </si>
  <si>
    <t>631272610R</t>
  </si>
  <si>
    <t>KZS vnějšího ostění hloubky špalet do 300 mm deskami z polystyrénu XPS tl 20 mm - parapety</t>
  </si>
  <si>
    <t>622478112</t>
  </si>
  <si>
    <t>Vnější tepelně izolační omítka stěn  tl 20 mm, ostění u parapetů</t>
  </si>
  <si>
    <t>319201311R</t>
  </si>
  <si>
    <t>629451112R</t>
  </si>
  <si>
    <t>622421131</t>
  </si>
  <si>
    <t>Vnější omítka stěn a štítů vápenná nebo vápenocementová hladká složitosti II</t>
  </si>
  <si>
    <t>648922421R</t>
  </si>
  <si>
    <t>627991003</t>
  </si>
  <si>
    <t xml:space="preserve">Odsekání a odebrání obkladů stěn z vni obkladaček pl. do 1 m2, obklad keram ostění a parapety                  </t>
  </si>
  <si>
    <t>978015291</t>
  </si>
  <si>
    <t xml:space="preserve">Otluč.omítky ven. Ostění - pro osazení parapetů-cca 150x150 mm jednotlivě , malý rozsah       </t>
  </si>
  <si>
    <t>766691912</t>
  </si>
  <si>
    <t>Vyvěšení nebo zavěšení dřevěných křídel oken pl přes 1,5 m2</t>
  </si>
  <si>
    <t>766691911</t>
  </si>
  <si>
    <t>Vyvěšení nebo zavěšení dřevěných křídel oken pl do 1,5 m2</t>
  </si>
  <si>
    <t>968072456</t>
  </si>
  <si>
    <t>Vybourání kovových dveřních zárubní pl přes 2 m2</t>
  </si>
  <si>
    <t>648922421</t>
  </si>
  <si>
    <t>952901111</t>
  </si>
  <si>
    <t>Vyčištění budov bytové a občanské výstavby při výšce podlaží do 4 m</t>
  </si>
  <si>
    <t>931991112R</t>
  </si>
  <si>
    <t xml:space="preserve">99876-6103   </t>
  </si>
  <si>
    <t>Přesun hmot pro konstrukce truhlářské v objektech v do 24 m</t>
  </si>
  <si>
    <t>767995101R</t>
  </si>
  <si>
    <t xml:space="preserve">998767103   </t>
  </si>
  <si>
    <t>624971111</t>
  </si>
  <si>
    <t>231534510</t>
  </si>
  <si>
    <t>283766140</t>
  </si>
  <si>
    <t>998711102</t>
  </si>
  <si>
    <t>Přesun hmot pro izolace proti vodě, vlhkosti a plynům v objektech výšky do 12 m</t>
  </si>
  <si>
    <t>781493111</t>
  </si>
  <si>
    <t>Plastový profil lepený rohový</t>
  </si>
  <si>
    <t xml:space="preserve">998781103   </t>
  </si>
  <si>
    <t>Přesun hmot pro obklady keramické v objektech v do 24 m</t>
  </si>
  <si>
    <t>783812110</t>
  </si>
  <si>
    <t>Nátěry olejové omítek stěn dvojnásobné a 1x email a 2x plné tmelení</t>
  </si>
  <si>
    <t>781495115</t>
  </si>
  <si>
    <t>Odvoz suti a vybouraných hmot na skládku ZKD 1 km přes 1 km- 19 km</t>
  </si>
  <si>
    <t>Přesun hmot pro opravy a údržbu budov v do 25 m</t>
  </si>
  <si>
    <t>POZNÁMKA</t>
  </si>
  <si>
    <t>Dopočty přirážek</t>
  </si>
  <si>
    <t xml:space="preserve">0921         </t>
  </si>
  <si>
    <t>0942</t>
  </si>
  <si>
    <t>VRN-HSV zařízení staveniště</t>
  </si>
  <si>
    <t>Statutární město Karlovy Vary</t>
  </si>
  <si>
    <t>Pokud se v rozpočtu nebo výkazu výměr vyskytnou konkrétní názvy výrobků, jsou uvedeny pouze jako příklad standardu. Je možné je nahradit srovnatelnými výrobky od jiných výrobců.</t>
  </si>
  <si>
    <t>dobet. par. 14</t>
  </si>
  <si>
    <t>době. par. 14a</t>
  </si>
  <si>
    <t>době. par. 17</t>
  </si>
  <si>
    <t>Potažení vnitřních stěn sklovláknitým pletivem vypnutým včetně přibití strun</t>
  </si>
  <si>
    <t>126,6*4</t>
  </si>
  <si>
    <t>ostění, nadpraží</t>
  </si>
  <si>
    <t>dobet. par. 14a</t>
  </si>
  <si>
    <t>dobet. par. 17</t>
  </si>
  <si>
    <t>32,1+2,50+0,6</t>
  </si>
  <si>
    <t>P/01</t>
  </si>
  <si>
    <t>P/02</t>
  </si>
  <si>
    <t>P/03</t>
  </si>
  <si>
    <t xml:space="preserve">Osaz parap desek dřev     š do 400 mm                      </t>
  </si>
  <si>
    <t>607941050R1</t>
  </si>
  <si>
    <t>607941050R2</t>
  </si>
  <si>
    <t>607941050R3</t>
  </si>
  <si>
    <t>deska parapetní dřevotřísková vnitřní POSTFORMING 0,25 x 1 m, vč  koncovek</t>
  </si>
  <si>
    <t>deska parapetní dřevotřísková vnitřní POSTFORMING 0,20 x 1 m, vč  koncovek</t>
  </si>
  <si>
    <t>deska parapetní dřevotřísková vnitřní POSTFORMING 0,3 x 1 m, vč  koncovek</t>
  </si>
  <si>
    <t>3,42x1,1</t>
  </si>
  <si>
    <t>7,6x1,1</t>
  </si>
  <si>
    <t>39,1x1,1</t>
  </si>
  <si>
    <t>KZS lišta začišťovací s tkaninou u oken, dveří, výloh - pouze v případě nových omítek venkovních ostění - čerpáno se souhlasem TDI</t>
  </si>
  <si>
    <t>vnitřní ostění, nadpraží</t>
  </si>
  <si>
    <t>vnější nadpraží, ostění</t>
  </si>
  <si>
    <t>Demontáž stávajících mříží 0,84x1,15 m</t>
  </si>
  <si>
    <t>Demontáž stávajících mříží 1,10x0,6 m</t>
  </si>
  <si>
    <t>Demontáž stávajících mříží 1,7x1,8 m</t>
  </si>
  <si>
    <t>Demontáž stávajících mříží 1,16x0,9 m</t>
  </si>
  <si>
    <t>Demontáž stávajících mříží 1,69x1,41 m</t>
  </si>
  <si>
    <t>Demontáž stávajících mříží 0,65x0,85 m</t>
  </si>
  <si>
    <t>Demontáž stávajících mříží 1,2x1,74 m</t>
  </si>
  <si>
    <t>Demontáž stávajících mříží 1,16x1,20 m</t>
  </si>
  <si>
    <t>Demontáž stávajících mříží 1,05x0,85 m</t>
  </si>
  <si>
    <t>parapety KO/01</t>
  </si>
  <si>
    <t>ostění a obklady</t>
  </si>
  <si>
    <t>0,6+(0,5*2*0,4)*2</t>
  </si>
  <si>
    <t>0,2+(0,3*2)*0,4</t>
  </si>
  <si>
    <t>0,5+(0,72*2)*0,4</t>
  </si>
  <si>
    <t>04a</t>
  </si>
  <si>
    <t>04b</t>
  </si>
  <si>
    <t>04c</t>
  </si>
  <si>
    <t>04d</t>
  </si>
  <si>
    <t>07a</t>
  </si>
  <si>
    <t>11a</t>
  </si>
  <si>
    <t>12</t>
  </si>
  <si>
    <t>14a</t>
  </si>
  <si>
    <t>18</t>
  </si>
  <si>
    <t>19</t>
  </si>
  <si>
    <t>20</t>
  </si>
  <si>
    <t>21</t>
  </si>
  <si>
    <t>22</t>
  </si>
  <si>
    <t>24</t>
  </si>
  <si>
    <t>DO2</t>
  </si>
  <si>
    <t>DO1</t>
  </si>
  <si>
    <t>DO3</t>
  </si>
  <si>
    <t>0,99*1,09</t>
  </si>
  <si>
    <t>0,99*1,09*2</t>
  </si>
  <si>
    <t>2*1,54*3</t>
  </si>
  <si>
    <t>1,14*1,74*11</t>
  </si>
  <si>
    <t>04a,04b,04c,04d</t>
  </si>
  <si>
    <t>1,14*1,74*7</t>
  </si>
  <si>
    <t>07,07a</t>
  </si>
  <si>
    <t>1,2*1,6*4</t>
  </si>
  <si>
    <t>08,08a</t>
  </si>
  <si>
    <t>1,27*2,59*2</t>
  </si>
  <si>
    <t>0,4*0,9</t>
  </si>
  <si>
    <t>11,11a</t>
  </si>
  <si>
    <t>1,42*1,65*3</t>
  </si>
  <si>
    <t>1,14*1,65*2</t>
  </si>
  <si>
    <t>14,14a</t>
  </si>
  <si>
    <t>1,14*0,65*2</t>
  </si>
  <si>
    <t>1,05*0,8</t>
  </si>
  <si>
    <t>1,14*0,6</t>
  </si>
  <si>
    <t>1,14*0,6*2</t>
  </si>
  <si>
    <t>1,42*1,3</t>
  </si>
  <si>
    <t>1,14*1,2</t>
  </si>
  <si>
    <t>21,22</t>
  </si>
  <si>
    <t>0,65*0,85*2</t>
  </si>
  <si>
    <t>1,14*1,1*4</t>
  </si>
  <si>
    <t>0,48*0,9*2</t>
  </si>
  <si>
    <t>4,24</t>
  </si>
  <si>
    <t>1,38*2,2</t>
  </si>
  <si>
    <t>0,94*2,08</t>
  </si>
  <si>
    <t xml:space="preserve">Rám oken dř dvoj nad 4m2                    </t>
  </si>
  <si>
    <t>P/01,P/02,P/03</t>
  </si>
  <si>
    <t>3,42+7,6+39,07</t>
  </si>
  <si>
    <t>3.NP</t>
  </si>
  <si>
    <t>(10,75-0,6*2)*(14,85-0,6*2)</t>
  </si>
  <si>
    <t>(10,6-0,45*2)*(14,7-0,45*2)</t>
  </si>
  <si>
    <t>podkroví</t>
  </si>
  <si>
    <t>7,5*6</t>
  </si>
  <si>
    <t>3</t>
  </si>
  <si>
    <t>Svislé a kompletní konstrukce</t>
  </si>
  <si>
    <t>1</t>
  </si>
  <si>
    <t>312272323</t>
  </si>
  <si>
    <t>Zdivo výplňové tl 300 mm z pórobetonových přesných hladkých tvárnic Ytong hmotnosti 500 kg/m3</t>
  </si>
  <si>
    <t>m3</t>
  </si>
  <si>
    <t>dozdění parap.</t>
  </si>
  <si>
    <t>(1,14+1,14+1,14)*0,6*0,2</t>
  </si>
  <si>
    <t>14. okno Al, 1 dílný prvek 1140x650</t>
  </si>
  <si>
    <t>01.  okno  dřev, 1 dílný prvek 990x1090</t>
  </si>
  <si>
    <t>02.  okno dřev,   1 dílný prvek 990x1090</t>
  </si>
  <si>
    <t>03. okno dřev, 4 dílný prvek 2000x1540</t>
  </si>
  <si>
    <t>04. okno dřev, 2 dílný prvek 1140x1740</t>
  </si>
  <si>
    <t>04a. okno dřev,  2 dílný prvek 1140x1740</t>
  </si>
  <si>
    <t>04b. okno dřev, 2 dílný prvek 1140x1740</t>
  </si>
  <si>
    <t>04c. okno dřev, 2 dílný prvek 1140x1740</t>
  </si>
  <si>
    <t>04d. okno dřev,  2 dílný prvek 1140x1740</t>
  </si>
  <si>
    <t>06. okno dřev, 2 dílný prvek 1140x1100</t>
  </si>
  <si>
    <t>07. okno dřev, 2 dílný prvek 1200x1600</t>
  </si>
  <si>
    <t>07a. okno dřev, 2 dílný prvek 1200x1600</t>
  </si>
  <si>
    <t>08. balkonové dveře dřev.  dvoukřídlové s nadsvětlíkem</t>
  </si>
  <si>
    <t>08a. balkonové dveře dřev. dvoukřídlové s nadsvětlíkem</t>
  </si>
  <si>
    <t>11. okno dřev, 3 dílný prvek 1420x1650</t>
  </si>
  <si>
    <t>11a. okno dřev,  3 dílný prvek 1420x1650</t>
  </si>
  <si>
    <t>12. okno dřev, 2 dílný prvek 1140x1650</t>
  </si>
  <si>
    <t>14a. okno Al, 1 dílný prvek 1140x650</t>
  </si>
  <si>
    <t>10. okno dřev,  1 dílný prvek 400x900</t>
  </si>
  <si>
    <t>15. okno dřev,  1 dílný prvek 1050x800</t>
  </si>
  <si>
    <t>17. okno Al, 1 dílný prvek 1140x600</t>
  </si>
  <si>
    <t>18. Hliníkový okenní rám s neuz. větrací Al mřížkou</t>
  </si>
  <si>
    <t>19. okno Al, 2 dílný prvek 1420x1300</t>
  </si>
  <si>
    <t>20. okno Al, 1 dílný prvek 1140x1200</t>
  </si>
  <si>
    <t>21. okno Al, 1 dílný prvek 650x850</t>
  </si>
  <si>
    <t>22. okno Al s neuzav. Al větrací žaluzií v horní části</t>
  </si>
  <si>
    <t>23. okno dřev,  2 dílný prvek 1200x1600</t>
  </si>
  <si>
    <t>24. okno dřev, 1 dílný prvek 480x900</t>
  </si>
  <si>
    <t>DO2. Sdružené dřev. okno a vstupní dřev. dveře dle specifikace</t>
  </si>
  <si>
    <t>DO1. Vchodové dveře dřevěné dvoukřídlové 1380x2200 dle specifikace</t>
  </si>
  <si>
    <t>DO3. Vchodové dveře dřev. jednokřídlové 940x2080 dle specifikace</t>
  </si>
  <si>
    <t>0,99*1,09*1</t>
  </si>
  <si>
    <t>04a,04c,04d</t>
  </si>
  <si>
    <t>1,14*1,74*6</t>
  </si>
  <si>
    <t>1,2*1,6*1</t>
  </si>
  <si>
    <t>08, 08a</t>
  </si>
  <si>
    <t>1,42*1,65*1</t>
  </si>
  <si>
    <t>776491111R</t>
  </si>
  <si>
    <t>D+M osazení okenního dřevěného krycího profilu - interiér, vč. mat. (viz DET)</t>
  </si>
  <si>
    <t>kotvení dozdívaných parapetů do přilehlé konstr.</t>
  </si>
  <si>
    <t>61,67/4,5</t>
  </si>
  <si>
    <t>ostění S</t>
  </si>
  <si>
    <t>ostění Z</t>
  </si>
  <si>
    <t>1,14*2+0,4+1,42+1,14+1,14+1,05+1,14*2+1,14+1,42+1,14+0,65+0,65+0,48*2</t>
  </si>
  <si>
    <t xml:space="preserve">Mtž.obkl.parapet. a ostění ker.š-400mm   flex. lepidlem                   </t>
  </si>
  <si>
    <t>781674113R</t>
  </si>
  <si>
    <t>0,5*2*2+0,3*2</t>
  </si>
  <si>
    <t>0,72*2</t>
  </si>
  <si>
    <t>781474112</t>
  </si>
  <si>
    <t xml:space="preserve">Mtž.obkl.ker.řez.-12ks/m2 flex.lep.               </t>
  </si>
  <si>
    <t xml:space="preserve"> poškození kolem oken</t>
  </si>
  <si>
    <t>10,86-(19,71*0,4)</t>
  </si>
  <si>
    <t>odsekané</t>
  </si>
  <si>
    <t>10,86*1,1</t>
  </si>
  <si>
    <t>971033651</t>
  </si>
  <si>
    <t>Vybourání otvorů ve zdivu z cihel pálených - malta vápenná nebo vápenocementová, plocha do 4 m2, tl. do 600 mm</t>
  </si>
  <si>
    <t>větrací mřížka</t>
  </si>
  <si>
    <t>1,2*0,7*0,5*2</t>
  </si>
  <si>
    <t>0,3*0,3*0,75</t>
  </si>
  <si>
    <t>rozšíření 18</t>
  </si>
  <si>
    <t>(1,1+0,5)*0,2*0,5</t>
  </si>
  <si>
    <t>644941112</t>
  </si>
  <si>
    <t>Osazování ventilačních mřížek velikosti do 300 x 300 mm</t>
  </si>
  <si>
    <t>553414220R</t>
  </si>
  <si>
    <t>Hliníková neuzaviratelná větrací mřížka v barvě oken se síťkou proti hmyzu 300x300 mm.Volná větrací plocha min. 0,047 m2.</t>
  </si>
  <si>
    <t>622732214R</t>
  </si>
  <si>
    <t>Nalepení desek XPS pod vnitřní parapet, š=200 mm, tl. 40 mm (změřit na stavbě dle skutečnosti)</t>
  </si>
  <si>
    <t>Zakrývání výplní venkovních otvorů</t>
  </si>
  <si>
    <t>14a, 14</t>
  </si>
  <si>
    <t>(1,15+1,25)*2*2</t>
  </si>
  <si>
    <t>(1,15+1,25)*2</t>
  </si>
  <si>
    <t>2,5+1,5</t>
  </si>
  <si>
    <t>0,2*4+1,15*2</t>
  </si>
  <si>
    <t>1,6*2</t>
  </si>
  <si>
    <t>D+M úprava napojení stávajících dřev. obkladů na začištěné ostění oken - nové olištování vč. mat.</t>
  </si>
  <si>
    <t>Jižní</t>
  </si>
  <si>
    <t>8+5+2,8+6,2+4,9+7,3+1,5+7,1+9+5,4+4,9</t>
  </si>
  <si>
    <t>Jižní - ostění</t>
  </si>
  <si>
    <t>(1,25*2+1,15)*0,4*3</t>
  </si>
  <si>
    <t>(1,25*2+1,15)*0,4*2</t>
  </si>
  <si>
    <t>(1,25+1,15)*0,4</t>
  </si>
  <si>
    <t>(1,25*2+1,25)*0,4</t>
  </si>
  <si>
    <t>(0,9*2+1,3)*0,4</t>
  </si>
  <si>
    <t>(0,55*2+1,15)*0,4</t>
  </si>
  <si>
    <t>(0,7*2+1,15)*0,4</t>
  </si>
  <si>
    <t>(0,75*2+1,15)*0,4*2</t>
  </si>
  <si>
    <t>Severní</t>
  </si>
  <si>
    <t>5,3+3,5+1,6+4,2+2,8+1,1+1,5+3,4+7+1,7+1,8+1,8+3,9+3,7+2,2+4,3+6,6</t>
  </si>
  <si>
    <t>Severní - ostění</t>
  </si>
  <si>
    <t>(1,25*2+1,3)*0,4*6</t>
  </si>
  <si>
    <t>(0,8*2+1,25)*0,4*2</t>
  </si>
  <si>
    <t>(0,74*2+0,5)*0,4*1</t>
  </si>
  <si>
    <t>(1,2*2+1,52)*0,4</t>
  </si>
  <si>
    <t>(1,2*2+1,25)*0,4</t>
  </si>
  <si>
    <t>(1,17*2+2,1)*0,2*4</t>
  </si>
  <si>
    <t>(0,9*2+1,52)*0,4</t>
  </si>
  <si>
    <t>(0,95*2+0,75)*0,4*2</t>
  </si>
  <si>
    <t>(1,3*2+1,25)*0,4</t>
  </si>
  <si>
    <t>Východní</t>
  </si>
  <si>
    <t>1,3+1,3+1,2+5+3,5+0,8+2,6+4</t>
  </si>
  <si>
    <t>Východní - ostění</t>
  </si>
  <si>
    <t>(1,25*2+1,52)*0,4</t>
  </si>
  <si>
    <t>(0,6*2+1,04)*0,4</t>
  </si>
  <si>
    <t>(0,84*2+1,04)*0,4</t>
  </si>
  <si>
    <t>(1,21*2+1,42)*0,4</t>
  </si>
  <si>
    <t>(0,6*2)*0,4</t>
  </si>
  <si>
    <t>Západní</t>
  </si>
  <si>
    <t>1,1+1,2+1,1+1,2+1,2+3,5</t>
  </si>
  <si>
    <t>Západní - ostění</t>
  </si>
  <si>
    <t>(1*2+0,5)*0,4*2</t>
  </si>
  <si>
    <t>(1,13*2+1,15)*0,4</t>
  </si>
  <si>
    <t>Ostění - dřev. obklady</t>
  </si>
  <si>
    <t>(1,15+1,25)*2*0,4*3</t>
  </si>
  <si>
    <t>(2,5+1,5)*0,4</t>
  </si>
  <si>
    <t>(0,2*4+1,15*2)*0,4</t>
  </si>
  <si>
    <t>2,7*0,4</t>
  </si>
  <si>
    <t>1,6*2*0,4</t>
  </si>
  <si>
    <t>766417111R</t>
  </si>
  <si>
    <t xml:space="preserve">784441010R   </t>
  </si>
  <si>
    <t xml:space="preserve">Malba 2x omyv.nátěr DUFA 1bar M380                </t>
  </si>
  <si>
    <t>prodyšný, otěruvzdorný - antická zemina</t>
  </si>
  <si>
    <t>10+6,5+3,3+1,6+4+0,35+5+7,3+7,2+6,5</t>
  </si>
  <si>
    <t>Jižní - ostění parapetu</t>
  </si>
  <si>
    <t>0,9*0,2*2*6</t>
  </si>
  <si>
    <t>(0,6*2*0,4)*6</t>
  </si>
  <si>
    <t>(1,4*2*0,4)*2</t>
  </si>
  <si>
    <t>(0,6*2*0,4)*12</t>
  </si>
  <si>
    <t>5,6+3,5+5,6+3,5+3,6+7,1</t>
  </si>
  <si>
    <t>Severní+schod.</t>
  </si>
  <si>
    <t>(0,7*0,4)*1</t>
  </si>
  <si>
    <t>0,65*2*0,4</t>
  </si>
  <si>
    <t>1,5+1,5+5,1</t>
  </si>
  <si>
    <t>V-ostění parap.</t>
  </si>
  <si>
    <t>Východní-ostění</t>
  </si>
  <si>
    <t>(0,6*2*0,4)*3</t>
  </si>
  <si>
    <t xml:space="preserve">784402801   </t>
  </si>
  <si>
    <t>Oškrábání maleb</t>
  </si>
  <si>
    <t>223,31+104,39</t>
  </si>
  <si>
    <t xml:space="preserve">612471413   </t>
  </si>
  <si>
    <t>(223,31+104,39)*0,9</t>
  </si>
  <si>
    <t xml:space="preserve">Úprava vnitř stěn aktiv štuk s disp  po oškrábání maleb , 90%           </t>
  </si>
  <si>
    <t>0,2+0,25</t>
  </si>
  <si>
    <t>(1,4*2)*0,4</t>
  </si>
  <si>
    <t>2,43+2,43+2,43</t>
  </si>
  <si>
    <t>Severní-ostění</t>
  </si>
  <si>
    <t>(0,6*2)*0,2*3</t>
  </si>
  <si>
    <t>0,6*2*0,4</t>
  </si>
  <si>
    <t>1,6+1,6</t>
  </si>
  <si>
    <t>0,6*2*0,4*2</t>
  </si>
  <si>
    <t>622476116R</t>
  </si>
  <si>
    <t xml:space="preserve">Postřik san zdi  např. Byosan SV61                   </t>
  </si>
  <si>
    <t>4+0,6*2*0,4</t>
  </si>
  <si>
    <t>622476113R</t>
  </si>
  <si>
    <t xml:space="preserve">Sanač vyrovn.malta např. SG 68 tl 4mm                   </t>
  </si>
  <si>
    <t>622476616R</t>
  </si>
  <si>
    <t xml:space="preserve">San om  zdi štuk např. Bayosan   SP64F a    64G           </t>
  </si>
  <si>
    <t xml:space="preserve">978015291   </t>
  </si>
  <si>
    <t xml:space="preserve">Otluč.omítky ven.MV MVC 1-4st.100% vč. vyškrábání spár (pro sanační omítku)          </t>
  </si>
  <si>
    <t>Vzduchotechnika</t>
  </si>
  <si>
    <t>Přívod vzduchu do kotelny dle výpisu</t>
  </si>
  <si>
    <t>kpl</t>
  </si>
  <si>
    <t>Cena položek 65 až 96 (výplně otvorů a žaluzie) je včetně dopravy až na místo zabudování.</t>
  </si>
  <si>
    <t>VÝKAZ VÝMĚR</t>
  </si>
  <si>
    <t>K. Vary - ZŠ Mozartova 7, Stavební úpravy výplní otvorů</t>
  </si>
  <si>
    <t>Dílčí výsledky</t>
  </si>
</sst>
</file>

<file path=xl/styles.xml><?xml version="1.0" encoding="utf-8"?>
<styleSheet xmlns="http://schemas.openxmlformats.org/spreadsheetml/2006/main">
  <numFmts count="3">
    <numFmt numFmtId="164" formatCode="####;\-####"/>
    <numFmt numFmtId="165" formatCode="#,##0.00;\-#,##0.00"/>
    <numFmt numFmtId="166" formatCode="#,##0.000;\-#,##0.000"/>
  </numFmts>
  <fonts count="23">
    <font>
      <sz val="10"/>
      <name val="Arial"/>
      <charset val="110"/>
    </font>
    <font>
      <sz val="8"/>
      <name val="Arial"/>
      <charset val="110"/>
    </font>
    <font>
      <sz val="8"/>
      <name val="Arial CE"/>
      <charset val="110"/>
    </font>
    <font>
      <b/>
      <sz val="8"/>
      <name val="Arial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sz val="8"/>
      <color indexed="21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MS Sans Serif"/>
      <family val="2"/>
      <charset val="238"/>
    </font>
    <font>
      <b/>
      <sz val="8"/>
      <name val="Arial"/>
      <family val="2"/>
      <charset val="238"/>
    </font>
    <font>
      <b/>
      <sz val="8"/>
      <color indexed="21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name val="Arial CE"/>
      <charset val="238"/>
    </font>
    <font>
      <i/>
      <sz val="8"/>
      <color indexed="12"/>
      <name val="Arial CE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13" fillId="0" borderId="0" applyAlignment="0">
      <alignment vertical="top" wrapText="1"/>
      <protection locked="0"/>
    </xf>
    <xf numFmtId="0" fontId="21" fillId="0" borderId="0"/>
  </cellStyleXfs>
  <cellXfs count="106">
    <xf numFmtId="0" fontId="0" fillId="0" borderId="0" xfId="0" applyAlignment="1" applyProtection="1"/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165" fontId="10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horizontal="left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/>
    </xf>
    <xf numFmtId="2" fontId="2" fillId="2" borderId="0" xfId="0" applyNumberFormat="1" applyFont="1" applyFill="1" applyAlignment="1" applyProtection="1">
      <alignment horizontal="left" vertical="center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left" vertical="center"/>
    </xf>
    <xf numFmtId="2" fontId="0" fillId="0" borderId="0" xfId="0" applyNumberFormat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2" fontId="6" fillId="0" borderId="5" xfId="0" applyNumberFormat="1" applyFont="1" applyBorder="1" applyAlignment="1" applyProtection="1">
      <alignment horizontal="left" vertical="center"/>
    </xf>
    <xf numFmtId="165" fontId="6" fillId="0" borderId="5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165" fontId="7" fillId="0" borderId="5" xfId="0" applyNumberFormat="1" applyFont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/>
    </xf>
    <xf numFmtId="0" fontId="17" fillId="0" borderId="5" xfId="0" applyFont="1" applyBorder="1" applyAlignment="1">
      <alignment horizontal="left" wrapText="1"/>
      <protection locked="0"/>
    </xf>
    <xf numFmtId="0" fontId="1" fillId="0" borderId="5" xfId="0" applyFont="1" applyBorder="1" applyAlignment="1" applyProtection="1">
      <alignment horizontal="center" vertical="center"/>
    </xf>
    <xf numFmtId="2" fontId="1" fillId="0" borderId="5" xfId="0" applyNumberFormat="1" applyFont="1" applyBorder="1" applyAlignment="1" applyProtection="1">
      <alignment horizontal="right" vertical="center"/>
    </xf>
    <xf numFmtId="165" fontId="12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166" fontId="1" fillId="0" borderId="5" xfId="0" applyNumberFormat="1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 wrapText="1"/>
    </xf>
    <xf numFmtId="2" fontId="1" fillId="0" borderId="5" xfId="0" applyNumberFormat="1" applyFont="1" applyBorder="1" applyAlignment="1" applyProtection="1">
      <alignment horizontal="left" vertical="center"/>
    </xf>
    <xf numFmtId="0" fontId="11" fillId="0" borderId="5" xfId="0" applyFont="1" applyBorder="1" applyAlignment="1">
      <alignment horizontal="left" wrapText="1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>
      <alignment horizontal="left" wrapText="1"/>
      <protection locked="0"/>
    </xf>
    <xf numFmtId="166" fontId="18" fillId="0" borderId="5" xfId="0" applyNumberFormat="1" applyFont="1" applyBorder="1" applyAlignment="1">
      <alignment horizontal="right"/>
      <protection locked="0"/>
    </xf>
    <xf numFmtId="165" fontId="18" fillId="0" borderId="5" xfId="0" applyNumberFormat="1" applyFont="1" applyBorder="1" applyAlignment="1">
      <alignment horizontal="right"/>
      <protection locked="0"/>
    </xf>
    <xf numFmtId="49" fontId="11" fillId="0" borderId="5" xfId="0" applyNumberFormat="1" applyFont="1" applyBorder="1" applyAlignment="1" applyProtection="1"/>
    <xf numFmtId="0" fontId="11" fillId="0" borderId="5" xfId="1" applyFont="1" applyBorder="1" applyAlignment="1">
      <alignment horizontal="left" wrapText="1"/>
      <protection locked="0"/>
    </xf>
    <xf numFmtId="49" fontId="11" fillId="0" borderId="5" xfId="0" applyNumberFormat="1" applyFont="1" applyBorder="1" applyAlignment="1" applyProtection="1">
      <alignment wrapText="1"/>
    </xf>
    <xf numFmtId="0" fontId="1" fillId="0" borderId="5" xfId="0" applyFont="1" applyBorder="1" applyAlignment="1" applyProtection="1">
      <alignment horizontal="left" vertical="center" wrapText="1"/>
    </xf>
    <xf numFmtId="4" fontId="11" fillId="0" borderId="5" xfId="0" applyNumberFormat="1" applyFont="1" applyBorder="1" applyAlignment="1" applyProtection="1"/>
    <xf numFmtId="2" fontId="12" fillId="0" borderId="5" xfId="0" applyNumberFormat="1" applyFont="1" applyBorder="1" applyAlignment="1" applyProtection="1">
      <alignment horizontal="right" vertical="center"/>
    </xf>
    <xf numFmtId="2" fontId="19" fillId="0" borderId="5" xfId="0" applyNumberFormat="1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2" fontId="11" fillId="0" borderId="5" xfId="0" applyNumberFormat="1" applyFont="1" applyBorder="1" applyAlignment="1" applyProtection="1"/>
    <xf numFmtId="2" fontId="11" fillId="0" borderId="5" xfId="0" applyNumberFormat="1" applyFont="1" applyBorder="1" applyAlignment="1" applyProtection="1">
      <alignment horizontal="left"/>
    </xf>
    <xf numFmtId="2" fontId="11" fillId="0" borderId="5" xfId="0" applyNumberFormat="1" applyFont="1" applyBorder="1" applyAlignment="1" applyProtection="1">
      <alignment wrapText="1"/>
    </xf>
    <xf numFmtId="165" fontId="7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left" vertical="center" wrapText="1"/>
    </xf>
    <xf numFmtId="49" fontId="21" fillId="4" borderId="0" xfId="2" applyNumberFormat="1" applyFill="1"/>
    <xf numFmtId="14" fontId="21" fillId="4" borderId="0" xfId="2" applyNumberFormat="1" applyFill="1" applyAlignment="1">
      <alignment horizontal="left"/>
    </xf>
    <xf numFmtId="0" fontId="0" fillId="4" borderId="0" xfId="0" applyFill="1" applyAlignment="1" applyProtection="1">
      <alignment horizontal="left" vertical="top"/>
    </xf>
    <xf numFmtId="49" fontId="11" fillId="0" borderId="5" xfId="0" applyNumberFormat="1" applyFont="1" applyBorder="1" applyAlignment="1" applyProtection="1">
      <alignment horizontal="right" wrapText="1"/>
    </xf>
    <xf numFmtId="0" fontId="22" fillId="0" borderId="5" xfId="0" applyFont="1" applyBorder="1" applyAlignment="1">
      <alignment horizontal="left" wrapText="1"/>
      <protection locked="0"/>
    </xf>
    <xf numFmtId="0" fontId="12" fillId="0" borderId="5" xfId="0" applyFont="1" applyBorder="1" applyAlignment="1" applyProtection="1">
      <alignment horizontal="right" vertical="center"/>
    </xf>
    <xf numFmtId="0" fontId="11" fillId="0" borderId="5" xfId="0" applyFont="1" applyBorder="1" applyAlignment="1">
      <alignment horizontal="right" wrapText="1"/>
      <protection locked="0"/>
    </xf>
    <xf numFmtId="0" fontId="12" fillId="0" borderId="5" xfId="0" applyFont="1" applyBorder="1" applyAlignment="1" applyProtection="1">
      <alignment horizontal="right" vertical="center" wrapText="1"/>
    </xf>
    <xf numFmtId="49" fontId="11" fillId="0" borderId="5" xfId="0" applyNumberFormat="1" applyFont="1" applyFill="1" applyBorder="1" applyAlignment="1" applyProtection="1"/>
    <xf numFmtId="0" fontId="11" fillId="0" borderId="5" xfId="0" applyFont="1" applyFill="1" applyBorder="1" applyAlignment="1">
      <alignment horizontal="left" wrapText="1"/>
      <protection locked="0"/>
    </xf>
    <xf numFmtId="0" fontId="12" fillId="0" borderId="5" xfId="0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right" vertical="center"/>
    </xf>
    <xf numFmtId="165" fontId="1" fillId="0" borderId="5" xfId="0" applyNumberFormat="1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left" vertical="center"/>
    </xf>
    <xf numFmtId="165" fontId="12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 wrapText="1"/>
    </xf>
    <xf numFmtId="2" fontId="3" fillId="0" borderId="5" xfId="0" applyNumberFormat="1" applyFont="1" applyFill="1" applyBorder="1" applyAlignment="1" applyProtection="1">
      <alignment horizontal="left" vertical="center"/>
    </xf>
    <xf numFmtId="165" fontId="7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 wrapText="1"/>
    </xf>
    <xf numFmtId="165" fontId="8" fillId="0" borderId="5" xfId="0" applyNumberFormat="1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 wrapText="1"/>
    </xf>
    <xf numFmtId="165" fontId="6" fillId="0" borderId="5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0" fillId="0" borderId="0" xfId="0" applyFont="1" applyAlignment="1" applyProtection="1">
      <alignment horizontal="left" vertical="top" wrapText="1"/>
    </xf>
  </cellXfs>
  <cellStyles count="3">
    <cellStyle name="normální" xfId="0" builtinId="0"/>
    <cellStyle name="normální 2" xfId="2"/>
    <cellStyle name="normální_AMYZSCLI - (ZSCLKROK) - Spojovací Krček - výměna oken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9"/>
  <sheetViews>
    <sheetView tabSelected="1" zoomScaleNormal="100" workbookViewId="0">
      <pane ySplit="13" topLeftCell="A254" activePane="bottomLeft" state="frozenSplit"/>
      <selection pane="bottomLeft" activeCell="K265" sqref="K265"/>
    </sheetView>
  </sheetViews>
  <sheetFormatPr defaultRowHeight="11.25" customHeight="1"/>
  <cols>
    <col min="1" max="1" width="3.85546875" style="2" customWidth="1"/>
    <col min="2" max="2" width="11.85546875" style="2" customWidth="1"/>
    <col min="3" max="3" width="55.5703125" style="21" customWidth="1"/>
    <col min="4" max="4" width="4.7109375" style="2" customWidth="1"/>
    <col min="5" max="5" width="9.7109375" style="102" customWidth="1"/>
    <col min="6" max="6" width="8.7109375" style="26" customWidth="1"/>
    <col min="7" max="7" width="9.7109375" style="2" customWidth="1"/>
    <col min="8" max="8" width="10.5703125" style="2" customWidth="1"/>
    <col min="9" max="10" width="9.140625" style="1" customWidth="1"/>
    <col min="11" max="16384" width="9.140625" style="1"/>
  </cols>
  <sheetData>
    <row r="1" spans="1:8" s="2" customFormat="1" ht="16.5" customHeight="1">
      <c r="A1" s="4" t="s">
        <v>436</v>
      </c>
      <c r="B1" s="14"/>
      <c r="C1" s="17"/>
      <c r="D1" s="14"/>
      <c r="E1" s="14"/>
      <c r="F1" s="22"/>
      <c r="G1" s="14"/>
      <c r="H1" s="14"/>
    </row>
    <row r="2" spans="1:8" s="2" customFormat="1" ht="12.75" customHeight="1">
      <c r="A2" s="5" t="s">
        <v>2</v>
      </c>
      <c r="B2" s="77"/>
      <c r="C2" s="75" t="s">
        <v>437</v>
      </c>
      <c r="D2" s="6"/>
      <c r="E2" s="6"/>
      <c r="F2" s="23"/>
      <c r="G2" s="6"/>
      <c r="H2" s="6"/>
    </row>
    <row r="3" spans="1:8" s="2" customFormat="1" ht="12.75" customHeight="1">
      <c r="A3" s="5" t="s">
        <v>3</v>
      </c>
      <c r="B3" s="75"/>
      <c r="C3" s="74"/>
      <c r="D3" s="6"/>
      <c r="E3" s="6"/>
      <c r="F3" s="23"/>
      <c r="G3" s="6"/>
      <c r="H3" s="6"/>
    </row>
    <row r="4" spans="1:8" s="2" customFormat="1" ht="12.75" customHeight="1">
      <c r="A4" s="5" t="s">
        <v>4</v>
      </c>
      <c r="B4" s="6"/>
      <c r="C4" s="18"/>
      <c r="D4" s="6"/>
      <c r="E4" s="6"/>
      <c r="F4" s="23"/>
      <c r="G4" s="6"/>
      <c r="H4" s="6"/>
    </row>
    <row r="5" spans="1:8" s="2" customFormat="1" ht="12.75" customHeight="1">
      <c r="A5" s="6" t="s">
        <v>11</v>
      </c>
      <c r="B5" s="6"/>
      <c r="C5" s="18"/>
      <c r="D5" s="6"/>
      <c r="E5" s="6"/>
      <c r="F5" s="23"/>
      <c r="G5" s="6"/>
      <c r="H5" s="6"/>
    </row>
    <row r="6" spans="1:8" s="2" customFormat="1" ht="6.75" customHeight="1">
      <c r="A6" s="6"/>
      <c r="B6" s="6"/>
      <c r="C6" s="18"/>
      <c r="D6" s="6"/>
      <c r="E6" s="6"/>
      <c r="F6" s="23"/>
      <c r="G6" s="6"/>
      <c r="H6" s="6"/>
    </row>
    <row r="7" spans="1:8" s="2" customFormat="1" ht="12.75" customHeight="1">
      <c r="A7" s="6" t="s">
        <v>5</v>
      </c>
      <c r="B7" s="72"/>
      <c r="C7" s="73" t="s">
        <v>172</v>
      </c>
      <c r="D7" s="6"/>
      <c r="E7" s="6"/>
      <c r="F7" s="23"/>
      <c r="G7" s="6"/>
      <c r="H7" s="6"/>
    </row>
    <row r="8" spans="1:8" s="2" customFormat="1" ht="12.75" customHeight="1">
      <c r="A8" s="6" t="s">
        <v>6</v>
      </c>
      <c r="B8" s="6"/>
      <c r="C8" s="18"/>
      <c r="D8" s="6"/>
      <c r="E8" s="6"/>
      <c r="F8" s="23"/>
      <c r="G8" s="6"/>
      <c r="H8" s="6"/>
    </row>
    <row r="9" spans="1:8" s="2" customFormat="1" ht="12.75" customHeight="1">
      <c r="A9" s="6" t="s">
        <v>7</v>
      </c>
      <c r="B9" s="6"/>
      <c r="C9" s="76">
        <v>41017</v>
      </c>
      <c r="D9" s="6"/>
      <c r="E9" s="6"/>
      <c r="F9" s="23"/>
      <c r="G9" s="6"/>
      <c r="H9" s="6"/>
    </row>
    <row r="10" spans="1:8" s="2" customFormat="1" ht="5.25" customHeight="1">
      <c r="A10" s="14"/>
      <c r="B10" s="14"/>
      <c r="C10" s="17"/>
      <c r="D10" s="14"/>
      <c r="E10" s="14"/>
      <c r="F10" s="22"/>
      <c r="G10" s="14"/>
      <c r="H10" s="14"/>
    </row>
    <row r="11" spans="1:8" s="2" customFormat="1" ht="23.25" customHeight="1">
      <c r="A11" s="7" t="s">
        <v>12</v>
      </c>
      <c r="B11" s="8" t="s">
        <v>13</v>
      </c>
      <c r="C11" s="8" t="s">
        <v>8</v>
      </c>
      <c r="D11" s="8" t="s">
        <v>14</v>
      </c>
      <c r="E11" s="8" t="s">
        <v>438</v>
      </c>
      <c r="F11" s="24" t="s">
        <v>15</v>
      </c>
      <c r="G11" s="8" t="s">
        <v>16</v>
      </c>
      <c r="H11" s="8" t="s">
        <v>9</v>
      </c>
    </row>
    <row r="12" spans="1:8" s="2" customFormat="1" ht="12.75" customHeight="1">
      <c r="A12" s="9">
        <v>1</v>
      </c>
      <c r="B12" s="10">
        <v>2</v>
      </c>
      <c r="C12" s="19">
        <v>3</v>
      </c>
      <c r="D12" s="10">
        <v>4</v>
      </c>
      <c r="E12" s="10">
        <v>5</v>
      </c>
      <c r="F12" s="29" t="s">
        <v>18</v>
      </c>
      <c r="G12" s="10">
        <v>7</v>
      </c>
      <c r="H12" s="10">
        <v>8</v>
      </c>
    </row>
    <row r="13" spans="1:8" s="2" customFormat="1" ht="3.75" customHeight="1">
      <c r="A13" s="14"/>
      <c r="B13" s="14"/>
      <c r="C13" s="17"/>
      <c r="D13" s="14"/>
      <c r="E13" s="14"/>
      <c r="F13" s="22"/>
      <c r="G13" s="14"/>
      <c r="H13" s="14"/>
    </row>
    <row r="14" spans="1:8" s="11" customFormat="1" ht="12.75" customHeight="1">
      <c r="A14" s="30"/>
      <c r="B14" s="30" t="s">
        <v>0</v>
      </c>
      <c r="C14" s="31" t="s">
        <v>17</v>
      </c>
      <c r="D14" s="30"/>
      <c r="E14" s="30"/>
      <c r="F14" s="32"/>
      <c r="G14" s="30"/>
      <c r="H14" s="33">
        <f>H15+H18+H68+H171</f>
        <v>0</v>
      </c>
    </row>
    <row r="15" spans="1:8" s="28" customFormat="1" ht="12.75" customHeight="1">
      <c r="A15" s="61"/>
      <c r="B15" s="90" t="s">
        <v>266</v>
      </c>
      <c r="C15" s="91" t="s">
        <v>267</v>
      </c>
      <c r="D15" s="61"/>
      <c r="E15" s="61"/>
      <c r="F15" s="92"/>
      <c r="G15" s="61"/>
      <c r="H15" s="93">
        <f>H16</f>
        <v>0</v>
      </c>
    </row>
    <row r="16" spans="1:8" s="3" customFormat="1" ht="24.95" customHeight="1">
      <c r="A16" s="38" t="s">
        <v>268</v>
      </c>
      <c r="B16" s="39" t="s">
        <v>269</v>
      </c>
      <c r="C16" s="39" t="s">
        <v>270</v>
      </c>
      <c r="D16" s="40" t="s">
        <v>271</v>
      </c>
      <c r="E16" s="42"/>
      <c r="F16" s="41">
        <v>0.41</v>
      </c>
      <c r="G16" s="42"/>
      <c r="H16" s="43">
        <f>F16*G16</f>
        <v>0</v>
      </c>
    </row>
    <row r="17" spans="1:8" s="11" customFormat="1" ht="12.75" customHeight="1">
      <c r="A17" s="38"/>
      <c r="B17" s="46" t="s">
        <v>272</v>
      </c>
      <c r="C17" s="54" t="s">
        <v>273</v>
      </c>
      <c r="D17" s="30"/>
      <c r="E17" s="63">
        <f>1.14*3*0.6*0.2</f>
        <v>0.41040000000000004</v>
      </c>
      <c r="F17" s="32"/>
      <c r="G17" s="63"/>
      <c r="H17" s="33"/>
    </row>
    <row r="18" spans="1:8" s="28" customFormat="1" ht="12.75" customHeight="1">
      <c r="A18" s="38"/>
      <c r="B18" s="90" t="s">
        <v>18</v>
      </c>
      <c r="C18" s="91" t="s">
        <v>19</v>
      </c>
      <c r="D18" s="61"/>
      <c r="E18" s="61"/>
      <c r="F18" s="92"/>
      <c r="G18" s="61"/>
      <c r="H18" s="93">
        <f>SUM(H19:H67)</f>
        <v>0</v>
      </c>
    </row>
    <row r="19" spans="1:8" s="11" customFormat="1" ht="12.75" customHeight="1">
      <c r="A19" s="38">
        <v>2</v>
      </c>
      <c r="B19" s="54" t="s">
        <v>412</v>
      </c>
      <c r="C19" s="54" t="s">
        <v>414</v>
      </c>
      <c r="D19" s="40" t="s">
        <v>21</v>
      </c>
      <c r="E19" s="43"/>
      <c r="F19" s="41">
        <v>294.93</v>
      </c>
      <c r="G19" s="43"/>
      <c r="H19" s="43">
        <f>F19*G19</f>
        <v>0</v>
      </c>
    </row>
    <row r="20" spans="1:8" s="11" customFormat="1" ht="12.75" customHeight="1">
      <c r="A20" s="38"/>
      <c r="B20" s="35"/>
      <c r="C20" s="46" t="s">
        <v>413</v>
      </c>
      <c r="D20" s="34"/>
      <c r="E20" s="82">
        <f>(223.31+104.39)*0.9</f>
        <v>294.93</v>
      </c>
      <c r="F20" s="36"/>
      <c r="G20" s="82"/>
      <c r="H20" s="37"/>
    </row>
    <row r="21" spans="1:8" s="11" customFormat="1" ht="12.75" customHeight="1">
      <c r="A21" s="38">
        <v>3</v>
      </c>
      <c r="B21" s="54" t="s">
        <v>423</v>
      </c>
      <c r="C21" s="54" t="s">
        <v>424</v>
      </c>
      <c r="D21" s="40" t="s">
        <v>21</v>
      </c>
      <c r="E21" s="43"/>
      <c r="F21" s="41">
        <v>4.4800000000000004</v>
      </c>
      <c r="G21" s="43"/>
      <c r="H21" s="43">
        <f>F21*G21</f>
        <v>0</v>
      </c>
    </row>
    <row r="22" spans="1:8" s="11" customFormat="1" ht="12.75" customHeight="1">
      <c r="A22" s="38"/>
      <c r="B22" s="54" t="s">
        <v>117</v>
      </c>
      <c r="C22" s="63" t="s">
        <v>425</v>
      </c>
      <c r="D22" s="40"/>
      <c r="E22" s="63">
        <f>4+0.6*2*0.4</f>
        <v>4.4800000000000004</v>
      </c>
      <c r="F22" s="41"/>
      <c r="G22" s="63"/>
      <c r="H22" s="43"/>
    </row>
    <row r="23" spans="1:8" s="11" customFormat="1" ht="12.75" customHeight="1">
      <c r="A23" s="38">
        <v>4</v>
      </c>
      <c r="B23" s="54" t="s">
        <v>426</v>
      </c>
      <c r="C23" s="54" t="s">
        <v>427</v>
      </c>
      <c r="D23" s="40" t="s">
        <v>21</v>
      </c>
      <c r="E23" s="43"/>
      <c r="F23" s="41">
        <v>4.4800000000000004</v>
      </c>
      <c r="G23" s="43"/>
      <c r="H23" s="43">
        <f>F23*G23</f>
        <v>0</v>
      </c>
    </row>
    <row r="24" spans="1:8" s="11" customFormat="1" ht="12.75" customHeight="1">
      <c r="A24" s="38">
        <v>5</v>
      </c>
      <c r="B24" s="54" t="s">
        <v>428</v>
      </c>
      <c r="C24" s="54" t="s">
        <v>429</v>
      </c>
      <c r="D24" s="40" t="s">
        <v>21</v>
      </c>
      <c r="E24" s="43"/>
      <c r="F24" s="41">
        <v>4.4800000000000004</v>
      </c>
      <c r="G24" s="43"/>
      <c r="H24" s="43">
        <f>F24*G24</f>
        <v>0</v>
      </c>
    </row>
    <row r="25" spans="1:8" s="11" customFormat="1" ht="12.75" customHeight="1">
      <c r="A25" s="38">
        <v>6</v>
      </c>
      <c r="B25" s="48" t="s">
        <v>335</v>
      </c>
      <c r="C25" s="48" t="s">
        <v>336</v>
      </c>
      <c r="D25" s="49" t="s">
        <v>76</v>
      </c>
      <c r="E25" s="43"/>
      <c r="F25" s="41">
        <v>1</v>
      </c>
      <c r="G25" s="43"/>
      <c r="H25" s="43">
        <f>F25*G25</f>
        <v>0</v>
      </c>
    </row>
    <row r="26" spans="1:8" s="3" customFormat="1" ht="24.95" customHeight="1">
      <c r="A26" s="38">
        <v>7</v>
      </c>
      <c r="B26" s="51" t="s">
        <v>337</v>
      </c>
      <c r="C26" s="51" t="s">
        <v>338</v>
      </c>
      <c r="D26" s="51" t="s">
        <v>29</v>
      </c>
      <c r="E26" s="53"/>
      <c r="F26" s="52">
        <v>1</v>
      </c>
      <c r="G26" s="53"/>
      <c r="H26" s="53">
        <f>F26*G26</f>
        <v>0</v>
      </c>
    </row>
    <row r="27" spans="1:8" s="3" customFormat="1" ht="24.95" customHeight="1">
      <c r="A27" s="38">
        <v>8</v>
      </c>
      <c r="B27" s="45" t="s">
        <v>20</v>
      </c>
      <c r="C27" s="48" t="s">
        <v>123</v>
      </c>
      <c r="D27" s="40" t="s">
        <v>21</v>
      </c>
      <c r="E27" s="43"/>
      <c r="F27" s="41">
        <v>0.6</v>
      </c>
      <c r="G27" s="43"/>
      <c r="H27" s="43">
        <f>F27*G27</f>
        <v>0</v>
      </c>
    </row>
    <row r="28" spans="1:8" s="3" customFormat="1" ht="12" customHeight="1">
      <c r="A28" s="38"/>
      <c r="B28" s="46" t="s">
        <v>174</v>
      </c>
      <c r="C28" s="45"/>
      <c r="D28" s="40"/>
      <c r="E28" s="44">
        <f>1*0.2</f>
        <v>0.2</v>
      </c>
      <c r="F28" s="47"/>
      <c r="G28" s="44"/>
      <c r="H28" s="43"/>
    </row>
    <row r="29" spans="1:8" s="3" customFormat="1" ht="12" customHeight="1">
      <c r="A29" s="38"/>
      <c r="B29" s="46" t="s">
        <v>180</v>
      </c>
      <c r="C29" s="45"/>
      <c r="D29" s="40"/>
      <c r="E29" s="44">
        <f>1*0.2</f>
        <v>0.2</v>
      </c>
      <c r="F29" s="47"/>
      <c r="G29" s="44"/>
      <c r="H29" s="43"/>
    </row>
    <row r="30" spans="1:8" s="3" customFormat="1" ht="12" customHeight="1">
      <c r="A30" s="38"/>
      <c r="B30" s="46" t="s">
        <v>181</v>
      </c>
      <c r="C30" s="45"/>
      <c r="D30" s="40"/>
      <c r="E30" s="44">
        <f>1*0.2</f>
        <v>0.2</v>
      </c>
      <c r="F30" s="47"/>
      <c r="G30" s="44"/>
      <c r="H30" s="43"/>
    </row>
    <row r="31" spans="1:8" s="3" customFormat="1" ht="12" customHeight="1">
      <c r="A31" s="38">
        <v>9</v>
      </c>
      <c r="B31" s="48" t="s">
        <v>124</v>
      </c>
      <c r="C31" s="48" t="s">
        <v>177</v>
      </c>
      <c r="D31" s="49" t="s">
        <v>21</v>
      </c>
      <c r="E31" s="43"/>
      <c r="F31" s="41">
        <v>126.6</v>
      </c>
      <c r="G31" s="43"/>
      <c r="H31" s="43">
        <f>F31*G31</f>
        <v>0</v>
      </c>
    </row>
    <row r="32" spans="1:8" s="3" customFormat="1" ht="12" customHeight="1">
      <c r="A32" s="38"/>
      <c r="B32" s="50" t="s">
        <v>121</v>
      </c>
      <c r="C32" s="46"/>
      <c r="D32" s="40"/>
      <c r="E32" s="44">
        <f>126.6</f>
        <v>126.6</v>
      </c>
      <c r="F32" s="47"/>
      <c r="G32" s="44"/>
      <c r="H32" s="43"/>
    </row>
    <row r="33" spans="1:8" s="3" customFormat="1" ht="12.75" customHeight="1">
      <c r="A33" s="38">
        <v>10</v>
      </c>
      <c r="B33" s="51" t="s">
        <v>126</v>
      </c>
      <c r="C33" s="51" t="s">
        <v>58</v>
      </c>
      <c r="D33" s="51" t="s">
        <v>21</v>
      </c>
      <c r="E33" s="53"/>
      <c r="F33" s="52">
        <v>126.6</v>
      </c>
      <c r="G33" s="53"/>
      <c r="H33" s="53">
        <f>F33*G33</f>
        <v>0</v>
      </c>
    </row>
    <row r="34" spans="1:8" s="3" customFormat="1" ht="12.75" customHeight="1">
      <c r="A34" s="38">
        <v>11</v>
      </c>
      <c r="B34" s="54" t="s">
        <v>59</v>
      </c>
      <c r="C34" s="54" t="s">
        <v>60</v>
      </c>
      <c r="D34" s="49" t="s">
        <v>21</v>
      </c>
      <c r="E34" s="43"/>
      <c r="F34" s="41">
        <v>126.6</v>
      </c>
      <c r="G34" s="43"/>
      <c r="H34" s="43">
        <f>F34*G34</f>
        <v>0</v>
      </c>
    </row>
    <row r="35" spans="1:8" s="3" customFormat="1" ht="12.75" customHeight="1">
      <c r="A35" s="38">
        <v>12</v>
      </c>
      <c r="B35" s="54" t="s">
        <v>61</v>
      </c>
      <c r="C35" s="54" t="s">
        <v>62</v>
      </c>
      <c r="D35" s="49" t="s">
        <v>63</v>
      </c>
      <c r="E35" s="43"/>
      <c r="F35" s="41">
        <v>506.4</v>
      </c>
      <c r="G35" s="43"/>
      <c r="H35" s="43">
        <f>F35*G35</f>
        <v>0</v>
      </c>
    </row>
    <row r="36" spans="1:8" s="3" customFormat="1" ht="12" customHeight="1">
      <c r="A36" s="38"/>
      <c r="B36" s="54"/>
      <c r="C36" s="54" t="s">
        <v>178</v>
      </c>
      <c r="D36" s="49"/>
      <c r="E36" s="44">
        <f>126.6*4</f>
        <v>506.4</v>
      </c>
      <c r="F36" s="47"/>
      <c r="G36" s="44"/>
      <c r="H36" s="43"/>
    </row>
    <row r="37" spans="1:8" s="3" customFormat="1" ht="24.95" customHeight="1">
      <c r="A37" s="38">
        <v>13</v>
      </c>
      <c r="B37" s="50" t="s">
        <v>26</v>
      </c>
      <c r="C37" s="46" t="s">
        <v>64</v>
      </c>
      <c r="D37" s="49" t="s">
        <v>21</v>
      </c>
      <c r="E37" s="42"/>
      <c r="F37" s="41">
        <v>58.83</v>
      </c>
      <c r="G37" s="42"/>
      <c r="H37" s="42">
        <f t="shared" ref="H37:H43" si="0">F37*G37</f>
        <v>0</v>
      </c>
    </row>
    <row r="38" spans="1:8" s="3" customFormat="1" ht="12.75" customHeight="1">
      <c r="A38" s="38">
        <v>14</v>
      </c>
      <c r="B38" s="45" t="s">
        <v>22</v>
      </c>
      <c r="C38" s="48" t="s">
        <v>341</v>
      </c>
      <c r="D38" s="40" t="s">
        <v>21</v>
      </c>
      <c r="E38" s="43"/>
      <c r="F38" s="41">
        <v>99.87</v>
      </c>
      <c r="G38" s="43"/>
      <c r="H38" s="43">
        <f t="shared" si="0"/>
        <v>0</v>
      </c>
    </row>
    <row r="39" spans="1:8" s="3" customFormat="1" ht="24.95" customHeight="1">
      <c r="A39" s="38">
        <v>15</v>
      </c>
      <c r="B39" s="55" t="s">
        <v>55</v>
      </c>
      <c r="C39" s="48" t="s">
        <v>127</v>
      </c>
      <c r="D39" s="40" t="s">
        <v>24</v>
      </c>
      <c r="E39" s="42"/>
      <c r="F39" s="41">
        <v>69.5</v>
      </c>
      <c r="G39" s="42"/>
      <c r="H39" s="43">
        <f t="shared" si="0"/>
        <v>0</v>
      </c>
    </row>
    <row r="40" spans="1:8" s="3" customFormat="1" ht="24.95" customHeight="1">
      <c r="A40" s="38">
        <v>16</v>
      </c>
      <c r="B40" s="55" t="s">
        <v>339</v>
      </c>
      <c r="C40" s="48" t="s">
        <v>340</v>
      </c>
      <c r="D40" s="40" t="s">
        <v>24</v>
      </c>
      <c r="E40" s="42"/>
      <c r="F40" s="41">
        <v>61.67</v>
      </c>
      <c r="G40" s="42"/>
      <c r="H40" s="43">
        <f t="shared" si="0"/>
        <v>0</v>
      </c>
    </row>
    <row r="41" spans="1:8" s="3" customFormat="1" ht="12.75" customHeight="1">
      <c r="A41" s="38">
        <v>17</v>
      </c>
      <c r="B41" s="45" t="s">
        <v>25</v>
      </c>
      <c r="C41" s="46" t="s">
        <v>54</v>
      </c>
      <c r="D41" s="40" t="s">
        <v>21</v>
      </c>
      <c r="E41" s="43"/>
      <c r="F41" s="41">
        <v>32.1</v>
      </c>
      <c r="G41" s="43"/>
      <c r="H41" s="43">
        <f t="shared" si="0"/>
        <v>0</v>
      </c>
    </row>
    <row r="42" spans="1:8" s="3" customFormat="1" ht="12.75" customHeight="1">
      <c r="A42" s="38">
        <v>18</v>
      </c>
      <c r="B42" s="48" t="s">
        <v>128</v>
      </c>
      <c r="C42" s="48" t="s">
        <v>129</v>
      </c>
      <c r="D42" s="40" t="s">
        <v>21</v>
      </c>
      <c r="E42" s="43"/>
      <c r="F42" s="41">
        <v>2.5</v>
      </c>
      <c r="G42" s="43"/>
      <c r="H42" s="43">
        <f t="shared" si="0"/>
        <v>0</v>
      </c>
    </row>
    <row r="43" spans="1:8" s="3" customFormat="1" ht="24.95" customHeight="1">
      <c r="A43" s="38">
        <v>19</v>
      </c>
      <c r="B43" s="48" t="s">
        <v>130</v>
      </c>
      <c r="C43" s="56" t="s">
        <v>56</v>
      </c>
      <c r="D43" s="49" t="s">
        <v>21</v>
      </c>
      <c r="E43" s="43"/>
      <c r="F43" s="41">
        <v>34.53</v>
      </c>
      <c r="G43" s="43"/>
      <c r="H43" s="43">
        <f t="shared" si="0"/>
        <v>0</v>
      </c>
    </row>
    <row r="44" spans="1:8" s="3" customFormat="1" ht="12" customHeight="1">
      <c r="A44" s="38"/>
      <c r="B44" s="78" t="s">
        <v>179</v>
      </c>
      <c r="C44" s="45"/>
      <c r="D44" s="49"/>
      <c r="E44" s="44">
        <f>230.17*0.15</f>
        <v>34.525499999999994</v>
      </c>
      <c r="F44" s="47"/>
      <c r="G44" s="44"/>
      <c r="H44" s="43"/>
    </row>
    <row r="45" spans="1:8" s="3" customFormat="1" ht="24.95" customHeight="1">
      <c r="A45" s="38">
        <v>20</v>
      </c>
      <c r="B45" s="48" t="s">
        <v>131</v>
      </c>
      <c r="C45" s="56" t="s">
        <v>57</v>
      </c>
      <c r="D45" s="49" t="s">
        <v>24</v>
      </c>
      <c r="E45" s="43"/>
      <c r="F45" s="41">
        <v>64</v>
      </c>
      <c r="G45" s="43"/>
      <c r="H45" s="43">
        <f>F45*G45</f>
        <v>0</v>
      </c>
    </row>
    <row r="46" spans="1:8" s="3" customFormat="1" ht="24.95" customHeight="1">
      <c r="A46" s="38">
        <v>21</v>
      </c>
      <c r="B46" s="48" t="s">
        <v>132</v>
      </c>
      <c r="C46" s="48" t="s">
        <v>133</v>
      </c>
      <c r="D46" s="49" t="s">
        <v>21</v>
      </c>
      <c r="E46" s="43"/>
      <c r="F46" s="41">
        <v>0.6</v>
      </c>
      <c r="G46" s="43"/>
      <c r="H46" s="43">
        <f>F46*G46</f>
        <v>0</v>
      </c>
    </row>
    <row r="47" spans="1:8" s="3" customFormat="1" ht="12" customHeight="1">
      <c r="A47" s="38"/>
      <c r="B47" s="54" t="s">
        <v>175</v>
      </c>
      <c r="C47" s="45"/>
      <c r="D47" s="49"/>
      <c r="E47" s="44">
        <v>0.2</v>
      </c>
      <c r="F47" s="47"/>
      <c r="G47" s="44"/>
      <c r="H47" s="43"/>
    </row>
    <row r="48" spans="1:8" s="3" customFormat="1" ht="12" customHeight="1">
      <c r="A48" s="38"/>
      <c r="B48" s="54" t="s">
        <v>175</v>
      </c>
      <c r="C48" s="45"/>
      <c r="D48" s="49"/>
      <c r="E48" s="44">
        <v>0.2</v>
      </c>
      <c r="F48" s="47"/>
      <c r="G48" s="44"/>
      <c r="H48" s="43"/>
    </row>
    <row r="49" spans="1:8" s="3" customFormat="1" ht="12" customHeight="1">
      <c r="A49" s="38"/>
      <c r="B49" s="54" t="s">
        <v>176</v>
      </c>
      <c r="C49" s="45"/>
      <c r="D49" s="49"/>
      <c r="E49" s="44">
        <v>0.2</v>
      </c>
      <c r="F49" s="47"/>
      <c r="G49" s="44"/>
      <c r="H49" s="43"/>
    </row>
    <row r="50" spans="1:8" s="3" customFormat="1" ht="12" customHeight="1">
      <c r="A50" s="38">
        <v>22</v>
      </c>
      <c r="B50" s="48" t="s">
        <v>124</v>
      </c>
      <c r="C50" s="48" t="s">
        <v>125</v>
      </c>
      <c r="D50" s="49" t="s">
        <v>21</v>
      </c>
      <c r="E50" s="43"/>
      <c r="F50" s="41">
        <v>35.200000000000003</v>
      </c>
      <c r="G50" s="43"/>
      <c r="H50" s="43">
        <f>F50*G50</f>
        <v>0</v>
      </c>
    </row>
    <row r="51" spans="1:8" s="3" customFormat="1" ht="12" customHeight="1">
      <c r="A51" s="38"/>
      <c r="B51" s="54"/>
      <c r="C51" s="54" t="s">
        <v>182</v>
      </c>
      <c r="D51" s="49"/>
      <c r="E51" s="44">
        <f>32.1+2.5+0.6</f>
        <v>35.200000000000003</v>
      </c>
      <c r="F51" s="47"/>
      <c r="G51" s="44"/>
      <c r="H51" s="43"/>
    </row>
    <row r="52" spans="1:8" s="3" customFormat="1" ht="12.75" customHeight="1">
      <c r="A52" s="38">
        <v>23</v>
      </c>
      <c r="B52" s="51" t="s">
        <v>126</v>
      </c>
      <c r="C52" s="51" t="s">
        <v>58</v>
      </c>
      <c r="D52" s="51" t="s">
        <v>21</v>
      </c>
      <c r="E52" s="53"/>
      <c r="F52" s="52">
        <v>35.200000000000003</v>
      </c>
      <c r="G52" s="53"/>
      <c r="H52" s="53">
        <f>F52*G52</f>
        <v>0</v>
      </c>
    </row>
    <row r="53" spans="1:8" s="3" customFormat="1" ht="12.75" customHeight="1">
      <c r="A53" s="38">
        <v>24</v>
      </c>
      <c r="B53" s="48" t="s">
        <v>134</v>
      </c>
      <c r="C53" s="54" t="s">
        <v>186</v>
      </c>
      <c r="D53" s="49" t="s">
        <v>24</v>
      </c>
      <c r="E53" s="43"/>
      <c r="F53" s="41">
        <v>50.12</v>
      </c>
      <c r="G53" s="43"/>
      <c r="H53" s="43">
        <f>F53*G53</f>
        <v>0</v>
      </c>
    </row>
    <row r="54" spans="1:8" s="3" customFormat="1" ht="12.75" customHeight="1">
      <c r="A54" s="38"/>
      <c r="B54" s="48" t="s">
        <v>183</v>
      </c>
      <c r="C54" s="54"/>
      <c r="D54" s="49"/>
      <c r="E54" s="43">
        <v>3.42</v>
      </c>
      <c r="F54" s="41"/>
      <c r="G54" s="43"/>
      <c r="H54" s="43"/>
    </row>
    <row r="55" spans="1:8" s="3" customFormat="1" ht="12.75" customHeight="1">
      <c r="A55" s="38"/>
      <c r="B55" s="48" t="s">
        <v>184</v>
      </c>
      <c r="C55" s="54"/>
      <c r="D55" s="49"/>
      <c r="E55" s="43">
        <v>7.6</v>
      </c>
      <c r="F55" s="41"/>
      <c r="G55" s="43"/>
      <c r="H55" s="43"/>
    </row>
    <row r="56" spans="1:8" s="3" customFormat="1" ht="12.75" customHeight="1">
      <c r="A56" s="38"/>
      <c r="B56" s="48" t="s">
        <v>185</v>
      </c>
      <c r="C56" s="54"/>
      <c r="D56" s="49"/>
      <c r="E56" s="43">
        <v>39.1</v>
      </c>
      <c r="F56" s="41"/>
      <c r="G56" s="43"/>
      <c r="H56" s="43"/>
    </row>
    <row r="57" spans="1:8" s="3" customFormat="1" ht="24.95" customHeight="1">
      <c r="A57" s="38">
        <v>25</v>
      </c>
      <c r="B57" s="79" t="s">
        <v>187</v>
      </c>
      <c r="C57" s="51" t="s">
        <v>191</v>
      </c>
      <c r="D57" s="51" t="s">
        <v>24</v>
      </c>
      <c r="E57" s="52"/>
      <c r="F57" s="52">
        <v>3.76</v>
      </c>
      <c r="G57" s="52"/>
      <c r="H57" s="52">
        <f>F57*G57</f>
        <v>0</v>
      </c>
    </row>
    <row r="58" spans="1:8" s="3" customFormat="1" ht="12.75" customHeight="1">
      <c r="A58" s="38"/>
      <c r="B58" s="48" t="s">
        <v>183</v>
      </c>
      <c r="C58" s="54" t="s">
        <v>193</v>
      </c>
      <c r="D58" s="51"/>
      <c r="E58" s="43">
        <f>3.42*1.1</f>
        <v>3.762</v>
      </c>
      <c r="F58" s="52"/>
      <c r="G58" s="43"/>
      <c r="H58" s="52"/>
    </row>
    <row r="59" spans="1:8" s="3" customFormat="1" ht="24.95" customHeight="1">
      <c r="A59" s="38">
        <v>26</v>
      </c>
      <c r="B59" s="79" t="s">
        <v>188</v>
      </c>
      <c r="C59" s="51" t="s">
        <v>190</v>
      </c>
      <c r="D59" s="51" t="s">
        <v>24</v>
      </c>
      <c r="E59" s="52"/>
      <c r="F59" s="52">
        <v>8.36</v>
      </c>
      <c r="G59" s="52"/>
      <c r="H59" s="52">
        <f>F59*G59</f>
        <v>0</v>
      </c>
    </row>
    <row r="60" spans="1:8" s="3" customFormat="1" ht="12.75" customHeight="1">
      <c r="A60" s="38"/>
      <c r="B60" s="48" t="s">
        <v>184</v>
      </c>
      <c r="C60" s="54" t="s">
        <v>194</v>
      </c>
      <c r="D60" s="51"/>
      <c r="E60" s="43">
        <f>7.6*1.1</f>
        <v>8.36</v>
      </c>
      <c r="F60" s="52"/>
      <c r="G60" s="43"/>
      <c r="H60" s="52"/>
    </row>
    <row r="61" spans="1:8" s="3" customFormat="1" ht="24.95" customHeight="1">
      <c r="A61" s="38">
        <v>27</v>
      </c>
      <c r="B61" s="79" t="s">
        <v>189</v>
      </c>
      <c r="C61" s="51" t="s">
        <v>192</v>
      </c>
      <c r="D61" s="51" t="s">
        <v>24</v>
      </c>
      <c r="E61" s="52"/>
      <c r="F61" s="52">
        <v>43.01</v>
      </c>
      <c r="G61" s="52"/>
      <c r="H61" s="52">
        <f>F61*G61</f>
        <v>0</v>
      </c>
    </row>
    <row r="62" spans="1:8" s="3" customFormat="1" ht="12.75" customHeight="1">
      <c r="A62" s="38"/>
      <c r="B62" s="48" t="s">
        <v>185</v>
      </c>
      <c r="C62" s="54" t="s">
        <v>195</v>
      </c>
      <c r="D62" s="51"/>
      <c r="E62" s="43">
        <f>39.1*1.1</f>
        <v>43.010000000000005</v>
      </c>
      <c r="F62" s="52"/>
      <c r="G62" s="43"/>
      <c r="H62" s="52"/>
    </row>
    <row r="63" spans="1:8" s="3" customFormat="1" ht="12.75" customHeight="1">
      <c r="A63" s="38">
        <v>28</v>
      </c>
      <c r="B63" s="39" t="s">
        <v>135</v>
      </c>
      <c r="C63" s="56" t="s">
        <v>98</v>
      </c>
      <c r="D63" s="49" t="s">
        <v>24</v>
      </c>
      <c r="E63" s="42"/>
      <c r="F63" s="41">
        <v>61.7</v>
      </c>
      <c r="G63" s="42"/>
      <c r="H63" s="43">
        <f>F63*G63</f>
        <v>0</v>
      </c>
    </row>
    <row r="64" spans="1:8" s="3" customFormat="1" ht="24.95" customHeight="1">
      <c r="A64" s="38">
        <v>29</v>
      </c>
      <c r="B64" s="48" t="s">
        <v>65</v>
      </c>
      <c r="C64" s="48" t="s">
        <v>196</v>
      </c>
      <c r="D64" s="49" t="s">
        <v>24</v>
      </c>
      <c r="E64" s="43"/>
      <c r="F64" s="41">
        <v>236.77</v>
      </c>
      <c r="G64" s="43"/>
      <c r="H64" s="43">
        <f>F64*G64</f>
        <v>0</v>
      </c>
    </row>
    <row r="65" spans="1:8" s="3" customFormat="1" ht="12.75" customHeight="1">
      <c r="A65" s="38"/>
      <c r="B65" s="54" t="s">
        <v>198</v>
      </c>
      <c r="C65" s="45"/>
      <c r="D65" s="49"/>
      <c r="E65" s="43">
        <v>236.77</v>
      </c>
      <c r="F65" s="41"/>
      <c r="G65" s="43"/>
      <c r="H65" s="43"/>
    </row>
    <row r="66" spans="1:8" s="3" customFormat="1" ht="12.75" customHeight="1">
      <c r="A66" s="38">
        <v>30</v>
      </c>
      <c r="B66" s="48" t="s">
        <v>67</v>
      </c>
      <c r="C66" s="48" t="s">
        <v>68</v>
      </c>
      <c r="D66" s="49" t="s">
        <v>24</v>
      </c>
      <c r="E66" s="43"/>
      <c r="F66" s="41">
        <v>236.77</v>
      </c>
      <c r="G66" s="43"/>
      <c r="H66" s="43">
        <f>F66*G66</f>
        <v>0</v>
      </c>
    </row>
    <row r="67" spans="1:8" s="3" customFormat="1" ht="12.75" customHeight="1">
      <c r="A67" s="38"/>
      <c r="B67" s="54" t="s">
        <v>197</v>
      </c>
      <c r="C67" s="45"/>
      <c r="D67" s="49"/>
      <c r="E67" s="43">
        <v>236.77</v>
      </c>
      <c r="F67" s="41"/>
      <c r="G67" s="43"/>
      <c r="H67" s="43"/>
    </row>
    <row r="68" spans="1:8" s="28" customFormat="1" ht="12.75" customHeight="1">
      <c r="A68" s="38"/>
      <c r="B68" s="90" t="s">
        <v>23</v>
      </c>
      <c r="C68" s="91" t="s">
        <v>27</v>
      </c>
      <c r="D68" s="85"/>
      <c r="E68" s="61"/>
      <c r="F68" s="92"/>
      <c r="G68" s="61"/>
      <c r="H68" s="93">
        <f>SUM(H69:H170)</f>
        <v>0</v>
      </c>
    </row>
    <row r="69" spans="1:8" s="11" customFormat="1" ht="24.95" customHeight="1">
      <c r="A69" s="38">
        <v>31</v>
      </c>
      <c r="B69" s="54" t="s">
        <v>430</v>
      </c>
      <c r="C69" s="54" t="s">
        <v>431</v>
      </c>
      <c r="D69" s="49" t="s">
        <v>21</v>
      </c>
      <c r="E69" s="43"/>
      <c r="F69" s="41">
        <v>4.4800000000000004</v>
      </c>
      <c r="G69" s="43"/>
      <c r="H69" s="43">
        <f>F69*G69</f>
        <v>0</v>
      </c>
    </row>
    <row r="70" spans="1:8" s="3" customFormat="1" ht="24.95" customHeight="1">
      <c r="A70" s="38">
        <v>32</v>
      </c>
      <c r="B70" s="45" t="s">
        <v>328</v>
      </c>
      <c r="C70" s="48" t="s">
        <v>329</v>
      </c>
      <c r="D70" s="49" t="s">
        <v>271</v>
      </c>
      <c r="E70" s="43"/>
      <c r="F70" s="41">
        <v>1.07</v>
      </c>
      <c r="G70" s="43"/>
      <c r="H70" s="43">
        <f>F70*G70</f>
        <v>0</v>
      </c>
    </row>
    <row r="71" spans="1:8" s="11" customFormat="1" ht="12.75" customHeight="1">
      <c r="A71" s="38"/>
      <c r="B71" s="46" t="s">
        <v>95</v>
      </c>
      <c r="C71" s="50" t="s">
        <v>331</v>
      </c>
      <c r="D71" s="49"/>
      <c r="E71" s="80">
        <f>1.2*0.7*0.5*2</f>
        <v>0.84</v>
      </c>
      <c r="F71" s="36"/>
      <c r="G71" s="80"/>
      <c r="H71" s="37"/>
    </row>
    <row r="72" spans="1:8" s="11" customFormat="1" ht="12.75" customHeight="1">
      <c r="A72" s="38"/>
      <c r="B72" s="46" t="s">
        <v>330</v>
      </c>
      <c r="C72" s="50" t="s">
        <v>332</v>
      </c>
      <c r="D72" s="49"/>
      <c r="E72" s="80">
        <f>0.3*0.3*0.75</f>
        <v>6.7500000000000004E-2</v>
      </c>
      <c r="F72" s="36"/>
      <c r="G72" s="80"/>
      <c r="H72" s="37"/>
    </row>
    <row r="73" spans="1:8" s="11" customFormat="1" ht="12.75" customHeight="1">
      <c r="A73" s="38"/>
      <c r="B73" s="46" t="s">
        <v>333</v>
      </c>
      <c r="C73" s="50" t="s">
        <v>334</v>
      </c>
      <c r="D73" s="49"/>
      <c r="E73" s="80">
        <f>(1.1+0.5)*0.2*0.5</f>
        <v>0.16000000000000003</v>
      </c>
      <c r="F73" s="36"/>
      <c r="G73" s="80"/>
      <c r="H73" s="37"/>
    </row>
    <row r="74" spans="1:8" s="3" customFormat="1" ht="12.75" customHeight="1">
      <c r="A74" s="38">
        <v>33</v>
      </c>
      <c r="B74" s="45">
        <v>899203211</v>
      </c>
      <c r="C74" s="46" t="s">
        <v>199</v>
      </c>
      <c r="D74" s="49" t="s">
        <v>76</v>
      </c>
      <c r="E74" s="43"/>
      <c r="F74" s="41">
        <v>2</v>
      </c>
      <c r="G74" s="43"/>
      <c r="H74" s="43">
        <f t="shared" ref="H74:H83" si="1">F74*G74</f>
        <v>0</v>
      </c>
    </row>
    <row r="75" spans="1:8" s="3" customFormat="1" ht="12.75" customHeight="1">
      <c r="A75" s="38">
        <v>34</v>
      </c>
      <c r="B75" s="45">
        <v>899203211</v>
      </c>
      <c r="C75" s="46" t="s">
        <v>200</v>
      </c>
      <c r="D75" s="49" t="s">
        <v>76</v>
      </c>
      <c r="E75" s="43"/>
      <c r="F75" s="41">
        <v>1</v>
      </c>
      <c r="G75" s="43"/>
      <c r="H75" s="43">
        <f t="shared" si="1"/>
        <v>0</v>
      </c>
    </row>
    <row r="76" spans="1:8" s="3" customFormat="1" ht="12.75" customHeight="1">
      <c r="A76" s="38">
        <v>35</v>
      </c>
      <c r="B76" s="45">
        <v>899203211</v>
      </c>
      <c r="C76" s="46" t="s">
        <v>201</v>
      </c>
      <c r="D76" s="49" t="s">
        <v>76</v>
      </c>
      <c r="E76" s="43"/>
      <c r="F76" s="41">
        <v>1</v>
      </c>
      <c r="G76" s="43"/>
      <c r="H76" s="43">
        <f t="shared" si="1"/>
        <v>0</v>
      </c>
    </row>
    <row r="77" spans="1:8" s="3" customFormat="1" ht="12.75" customHeight="1">
      <c r="A77" s="38">
        <v>36</v>
      </c>
      <c r="B77" s="45">
        <v>899203211</v>
      </c>
      <c r="C77" s="46" t="s">
        <v>202</v>
      </c>
      <c r="D77" s="49" t="s">
        <v>76</v>
      </c>
      <c r="E77" s="43"/>
      <c r="F77" s="41">
        <v>1</v>
      </c>
      <c r="G77" s="43"/>
      <c r="H77" s="43">
        <f t="shared" si="1"/>
        <v>0</v>
      </c>
    </row>
    <row r="78" spans="1:8" s="3" customFormat="1" ht="12.75" customHeight="1">
      <c r="A78" s="38">
        <v>37</v>
      </c>
      <c r="B78" s="45">
        <v>899203211</v>
      </c>
      <c r="C78" s="46" t="s">
        <v>203</v>
      </c>
      <c r="D78" s="49" t="s">
        <v>76</v>
      </c>
      <c r="E78" s="43"/>
      <c r="F78" s="41">
        <v>1</v>
      </c>
      <c r="G78" s="43"/>
      <c r="H78" s="43">
        <f t="shared" si="1"/>
        <v>0</v>
      </c>
    </row>
    <row r="79" spans="1:8" s="3" customFormat="1" ht="12.75" customHeight="1">
      <c r="A79" s="38">
        <v>38</v>
      </c>
      <c r="B79" s="45">
        <v>899203211</v>
      </c>
      <c r="C79" s="46" t="s">
        <v>204</v>
      </c>
      <c r="D79" s="49" t="s">
        <v>76</v>
      </c>
      <c r="E79" s="43"/>
      <c r="F79" s="41">
        <v>2</v>
      </c>
      <c r="G79" s="43"/>
      <c r="H79" s="43">
        <f t="shared" si="1"/>
        <v>0</v>
      </c>
    </row>
    <row r="80" spans="1:8" s="3" customFormat="1" ht="12.75" customHeight="1">
      <c r="A80" s="38">
        <v>39</v>
      </c>
      <c r="B80" s="45">
        <v>899203211</v>
      </c>
      <c r="C80" s="46" t="s">
        <v>205</v>
      </c>
      <c r="D80" s="49" t="s">
        <v>76</v>
      </c>
      <c r="E80" s="43"/>
      <c r="F80" s="41">
        <v>2</v>
      </c>
      <c r="G80" s="43"/>
      <c r="H80" s="43">
        <f t="shared" si="1"/>
        <v>0</v>
      </c>
    </row>
    <row r="81" spans="1:9" s="3" customFormat="1" ht="12.75" customHeight="1">
      <c r="A81" s="38">
        <v>40</v>
      </c>
      <c r="B81" s="45">
        <v>899203211</v>
      </c>
      <c r="C81" s="46" t="s">
        <v>206</v>
      </c>
      <c r="D81" s="49" t="s">
        <v>76</v>
      </c>
      <c r="E81" s="43"/>
      <c r="F81" s="41">
        <v>1</v>
      </c>
      <c r="G81" s="43"/>
      <c r="H81" s="43">
        <f t="shared" si="1"/>
        <v>0</v>
      </c>
    </row>
    <row r="82" spans="1:9" s="3" customFormat="1" ht="12.75" customHeight="1">
      <c r="A82" s="38">
        <v>41</v>
      </c>
      <c r="B82" s="45">
        <v>899203211</v>
      </c>
      <c r="C82" s="46" t="s">
        <v>207</v>
      </c>
      <c r="D82" s="49" t="s">
        <v>76</v>
      </c>
      <c r="E82" s="43"/>
      <c r="F82" s="41">
        <v>1</v>
      </c>
      <c r="G82" s="43"/>
      <c r="H82" s="43">
        <f t="shared" si="1"/>
        <v>0</v>
      </c>
    </row>
    <row r="83" spans="1:9" s="3" customFormat="1" ht="24.95" customHeight="1">
      <c r="A83" s="38">
        <v>42</v>
      </c>
      <c r="B83" s="48">
        <v>978059511</v>
      </c>
      <c r="C83" s="56" t="s">
        <v>136</v>
      </c>
      <c r="D83" s="49" t="s">
        <v>21</v>
      </c>
      <c r="E83" s="43"/>
      <c r="F83" s="41">
        <v>10.86</v>
      </c>
      <c r="G83" s="43"/>
      <c r="H83" s="43">
        <f t="shared" si="1"/>
        <v>0</v>
      </c>
    </row>
    <row r="84" spans="1:9" s="3" customFormat="1" ht="12.75" customHeight="1">
      <c r="A84" s="38"/>
      <c r="B84" s="46" t="s">
        <v>208</v>
      </c>
      <c r="C84" s="45"/>
      <c r="D84" s="49"/>
      <c r="E84" s="43">
        <v>6.3</v>
      </c>
      <c r="F84" s="41"/>
      <c r="G84" s="43"/>
      <c r="H84" s="43"/>
    </row>
    <row r="85" spans="1:9" s="3" customFormat="1" ht="12.75" customHeight="1">
      <c r="A85" s="38"/>
      <c r="B85" s="46" t="s">
        <v>209</v>
      </c>
      <c r="C85" s="50" t="s">
        <v>210</v>
      </c>
      <c r="D85" s="49"/>
      <c r="E85" s="80">
        <f>0.6+(0.5*2*0.4)*2</f>
        <v>1.4</v>
      </c>
      <c r="F85" s="41"/>
      <c r="G85" s="80"/>
      <c r="H85" s="43"/>
    </row>
    <row r="86" spans="1:9" s="3" customFormat="1" ht="12.75" customHeight="1">
      <c r="A86" s="38"/>
      <c r="B86" s="46"/>
      <c r="C86" s="50">
        <v>0.12</v>
      </c>
      <c r="D86" s="49"/>
      <c r="E86" s="80">
        <v>0.12</v>
      </c>
      <c r="F86" s="41"/>
      <c r="G86" s="80"/>
      <c r="H86" s="43"/>
    </row>
    <row r="87" spans="1:9" s="3" customFormat="1" ht="12.75" customHeight="1">
      <c r="A87" s="38"/>
      <c r="B87" s="46"/>
      <c r="C87" s="50" t="s">
        <v>210</v>
      </c>
      <c r="D87" s="49"/>
      <c r="E87" s="80">
        <f>0.6+(0.5*2*0.4)*2</f>
        <v>1.4</v>
      </c>
      <c r="F87" s="41"/>
      <c r="G87" s="80"/>
      <c r="H87" s="43"/>
    </row>
    <row r="88" spans="1:9" s="3" customFormat="1" ht="12.75" customHeight="1">
      <c r="A88" s="38"/>
      <c r="B88" s="46"/>
      <c r="C88" s="50">
        <v>0.12</v>
      </c>
      <c r="D88" s="49"/>
      <c r="E88" s="80">
        <v>0.12</v>
      </c>
      <c r="F88" s="41"/>
      <c r="G88" s="80"/>
      <c r="H88" s="43"/>
    </row>
    <row r="89" spans="1:9" s="3" customFormat="1" ht="12.75" customHeight="1">
      <c r="A89" s="38"/>
      <c r="B89" s="46"/>
      <c r="C89" s="50" t="s">
        <v>211</v>
      </c>
      <c r="D89" s="49"/>
      <c r="E89" s="80">
        <f>0.2+(0.3*2)*0.4</f>
        <v>0.44</v>
      </c>
      <c r="F89" s="41"/>
      <c r="G89" s="80"/>
      <c r="H89" s="43"/>
    </row>
    <row r="90" spans="1:9" s="3" customFormat="1" ht="12.75" customHeight="1">
      <c r="A90" s="38"/>
      <c r="B90" s="46"/>
      <c r="C90" s="50" t="s">
        <v>212</v>
      </c>
      <c r="D90" s="49"/>
      <c r="E90" s="80">
        <f>0.5+(0.72*2)*0.4</f>
        <v>1.0760000000000001</v>
      </c>
      <c r="F90" s="41"/>
      <c r="G90" s="80"/>
      <c r="H90" s="43"/>
    </row>
    <row r="91" spans="1:9" s="3" customFormat="1" ht="24.95" customHeight="1">
      <c r="A91" s="38">
        <v>43</v>
      </c>
      <c r="B91" s="48" t="s">
        <v>137</v>
      </c>
      <c r="C91" s="56" t="s">
        <v>138</v>
      </c>
      <c r="D91" s="49" t="s">
        <v>21</v>
      </c>
      <c r="E91" s="43"/>
      <c r="F91" s="41">
        <v>2.48</v>
      </c>
      <c r="G91" s="43"/>
      <c r="H91" s="43">
        <f>F91*G91</f>
        <v>0</v>
      </c>
    </row>
    <row r="92" spans="1:9" s="3" customFormat="1" ht="12.75" customHeight="1">
      <c r="A92" s="38">
        <v>44</v>
      </c>
      <c r="B92" s="48" t="s">
        <v>137</v>
      </c>
      <c r="C92" s="54" t="s">
        <v>97</v>
      </c>
      <c r="D92" s="49" t="s">
        <v>21</v>
      </c>
      <c r="E92" s="42"/>
      <c r="F92" s="41">
        <v>32.1</v>
      </c>
      <c r="G92" s="42"/>
      <c r="H92" s="43">
        <f>F92*G92</f>
        <v>0</v>
      </c>
    </row>
    <row r="93" spans="1:9" s="3" customFormat="1" ht="12.75" customHeight="1">
      <c r="A93" s="38">
        <v>45</v>
      </c>
      <c r="B93" s="48" t="s">
        <v>139</v>
      </c>
      <c r="C93" s="48" t="s">
        <v>140</v>
      </c>
      <c r="D93" s="49" t="s">
        <v>76</v>
      </c>
      <c r="E93" s="42"/>
      <c r="F93" s="41">
        <v>8</v>
      </c>
      <c r="G93" s="42"/>
      <c r="H93" s="43">
        <f>F93*G93</f>
        <v>0</v>
      </c>
    </row>
    <row r="94" spans="1:9" s="3" customFormat="1" ht="12.75" customHeight="1">
      <c r="A94" s="38"/>
      <c r="B94" s="54" t="s">
        <v>101</v>
      </c>
      <c r="C94" s="45"/>
      <c r="D94" s="49"/>
      <c r="E94" s="42">
        <f>2*1</f>
        <v>2</v>
      </c>
      <c r="F94" s="41"/>
      <c r="G94" s="42"/>
      <c r="H94" s="43"/>
    </row>
    <row r="95" spans="1:9" s="3" customFormat="1" ht="12.75" customHeight="1">
      <c r="A95" s="38"/>
      <c r="B95" s="54" t="s">
        <v>102</v>
      </c>
      <c r="C95" s="45"/>
      <c r="D95" s="49"/>
      <c r="E95" s="42">
        <f>2*1</f>
        <v>2</v>
      </c>
      <c r="F95" s="41"/>
      <c r="G95" s="42"/>
      <c r="H95" s="43"/>
      <c r="I95" s="16"/>
    </row>
    <row r="96" spans="1:9" s="3" customFormat="1" ht="12.75" customHeight="1">
      <c r="A96" s="38"/>
      <c r="B96" s="54" t="s">
        <v>227</v>
      </c>
      <c r="C96" s="45"/>
      <c r="D96" s="49"/>
      <c r="E96" s="42">
        <v>1</v>
      </c>
      <c r="F96" s="41"/>
      <c r="G96" s="42"/>
      <c r="H96" s="43"/>
    </row>
    <row r="97" spans="1:8" s="3" customFormat="1" ht="12.75" customHeight="1">
      <c r="A97" s="38"/>
      <c r="B97" s="54" t="s">
        <v>228</v>
      </c>
      <c r="C97" s="45"/>
      <c r="D97" s="49"/>
      <c r="E97" s="42">
        <v>2</v>
      </c>
      <c r="F97" s="41"/>
      <c r="G97" s="42"/>
      <c r="H97" s="43"/>
    </row>
    <row r="98" spans="1:8" s="3" customFormat="1" ht="12.75" customHeight="1">
      <c r="A98" s="38"/>
      <c r="B98" s="54" t="s">
        <v>229</v>
      </c>
      <c r="C98" s="45"/>
      <c r="D98" s="49"/>
      <c r="E98" s="42">
        <v>1</v>
      </c>
      <c r="F98" s="41"/>
      <c r="G98" s="42"/>
      <c r="H98" s="43"/>
    </row>
    <row r="99" spans="1:8" s="3" customFormat="1" ht="12.75" customHeight="1">
      <c r="A99" s="38">
        <v>46</v>
      </c>
      <c r="B99" s="48" t="s">
        <v>141</v>
      </c>
      <c r="C99" s="48" t="s">
        <v>142</v>
      </c>
      <c r="D99" s="49" t="s">
        <v>76</v>
      </c>
      <c r="E99" s="58"/>
      <c r="F99" s="41">
        <v>138</v>
      </c>
      <c r="G99" s="58"/>
      <c r="H99" s="43">
        <f>F99*G99</f>
        <v>0</v>
      </c>
    </row>
    <row r="100" spans="1:8" s="3" customFormat="1" ht="12.75" customHeight="1">
      <c r="A100" s="38"/>
      <c r="B100" s="54" t="s">
        <v>83</v>
      </c>
      <c r="C100" s="45"/>
      <c r="D100" s="49"/>
      <c r="E100" s="42">
        <v>2</v>
      </c>
      <c r="F100" s="41"/>
      <c r="G100" s="42"/>
      <c r="H100" s="43"/>
    </row>
    <row r="101" spans="1:8" s="3" customFormat="1" ht="12.75" customHeight="1">
      <c r="A101" s="38"/>
      <c r="B101" s="54" t="s">
        <v>100</v>
      </c>
      <c r="C101" s="45"/>
      <c r="D101" s="49"/>
      <c r="E101" s="42">
        <v>4</v>
      </c>
      <c r="F101" s="41"/>
      <c r="G101" s="42"/>
      <c r="H101" s="43"/>
    </row>
    <row r="102" spans="1:8" s="3" customFormat="1" ht="12" customHeight="1">
      <c r="A102" s="38"/>
      <c r="B102" s="54" t="s">
        <v>84</v>
      </c>
      <c r="C102" s="45"/>
      <c r="D102" s="49"/>
      <c r="E102" s="42">
        <f>6*3</f>
        <v>18</v>
      </c>
      <c r="F102" s="41"/>
      <c r="G102" s="42"/>
      <c r="H102" s="43"/>
    </row>
    <row r="103" spans="1:8" s="3" customFormat="1" ht="12" customHeight="1">
      <c r="A103" s="38"/>
      <c r="B103" s="54" t="s">
        <v>94</v>
      </c>
      <c r="C103" s="45"/>
      <c r="D103" s="49"/>
      <c r="E103" s="42">
        <f>3*11</f>
        <v>33</v>
      </c>
      <c r="F103" s="41"/>
      <c r="G103" s="42"/>
      <c r="H103" s="43"/>
    </row>
    <row r="104" spans="1:8" s="3" customFormat="1" ht="12" customHeight="1">
      <c r="A104" s="38"/>
      <c r="B104" s="54" t="s">
        <v>213</v>
      </c>
      <c r="C104" s="45"/>
      <c r="D104" s="49"/>
      <c r="E104" s="42">
        <f>3*4</f>
        <v>12</v>
      </c>
      <c r="F104" s="41"/>
      <c r="G104" s="42"/>
      <c r="H104" s="43"/>
    </row>
    <row r="105" spans="1:8" s="3" customFormat="1" ht="12" customHeight="1">
      <c r="A105" s="38"/>
      <c r="B105" s="54" t="s">
        <v>214</v>
      </c>
      <c r="C105" s="45"/>
      <c r="D105" s="49"/>
      <c r="E105" s="42">
        <f>3*1</f>
        <v>3</v>
      </c>
      <c r="F105" s="41"/>
      <c r="G105" s="42"/>
      <c r="H105" s="43"/>
    </row>
    <row r="106" spans="1:8" s="3" customFormat="1" ht="12" customHeight="1">
      <c r="A106" s="38"/>
      <c r="B106" s="54" t="s">
        <v>215</v>
      </c>
      <c r="C106" s="45"/>
      <c r="D106" s="49"/>
      <c r="E106" s="42">
        <f>3*1</f>
        <v>3</v>
      </c>
      <c r="F106" s="41"/>
      <c r="G106" s="42"/>
      <c r="H106" s="43"/>
    </row>
    <row r="107" spans="1:8" s="3" customFormat="1" ht="12" customHeight="1">
      <c r="A107" s="38"/>
      <c r="B107" s="54" t="s">
        <v>216</v>
      </c>
      <c r="C107" s="45"/>
      <c r="D107" s="49"/>
      <c r="E107" s="42">
        <f>3*1</f>
        <v>3</v>
      </c>
      <c r="F107" s="41"/>
      <c r="G107" s="42"/>
      <c r="H107" s="43"/>
    </row>
    <row r="108" spans="1:8" s="3" customFormat="1" ht="12" customHeight="1">
      <c r="A108" s="38"/>
      <c r="B108" s="54" t="s">
        <v>66</v>
      </c>
      <c r="C108" s="45"/>
      <c r="D108" s="49"/>
      <c r="E108" s="42">
        <f>2*4</f>
        <v>8</v>
      </c>
      <c r="F108" s="41"/>
      <c r="G108" s="42"/>
      <c r="H108" s="43"/>
    </row>
    <row r="109" spans="1:8" s="3" customFormat="1" ht="12" customHeight="1">
      <c r="A109" s="38"/>
      <c r="B109" s="54" t="s">
        <v>86</v>
      </c>
      <c r="C109" s="45"/>
      <c r="D109" s="49"/>
      <c r="E109" s="42">
        <f>3*2</f>
        <v>6</v>
      </c>
      <c r="F109" s="41"/>
      <c r="G109" s="42"/>
      <c r="H109" s="43"/>
    </row>
    <row r="110" spans="1:8" s="3" customFormat="1" ht="12" customHeight="1">
      <c r="A110" s="38"/>
      <c r="B110" s="54" t="s">
        <v>217</v>
      </c>
      <c r="C110" s="45"/>
      <c r="D110" s="49"/>
      <c r="E110" s="42">
        <f>3*2</f>
        <v>6</v>
      </c>
      <c r="F110" s="41"/>
      <c r="G110" s="42"/>
      <c r="H110" s="43"/>
    </row>
    <row r="111" spans="1:8" s="3" customFormat="1" ht="12" customHeight="1">
      <c r="A111" s="38"/>
      <c r="B111" s="54" t="s">
        <v>101</v>
      </c>
      <c r="C111" s="45"/>
      <c r="D111" s="49"/>
      <c r="E111" s="42">
        <v>1</v>
      </c>
      <c r="F111" s="41"/>
      <c r="G111" s="42"/>
      <c r="H111" s="43"/>
    </row>
    <row r="112" spans="1:8" s="3" customFormat="1" ht="12" customHeight="1">
      <c r="A112" s="38"/>
      <c r="B112" s="54" t="s">
        <v>102</v>
      </c>
      <c r="C112" s="45"/>
      <c r="D112" s="49"/>
      <c r="E112" s="42">
        <v>1</v>
      </c>
      <c r="F112" s="41"/>
      <c r="G112" s="42"/>
      <c r="H112" s="43"/>
    </row>
    <row r="113" spans="1:8" s="3" customFormat="1" ht="12" customHeight="1">
      <c r="A113" s="38"/>
      <c r="B113" s="54" t="s">
        <v>85</v>
      </c>
      <c r="C113" s="45"/>
      <c r="D113" s="49"/>
      <c r="E113" s="42">
        <f>1</f>
        <v>1</v>
      </c>
      <c r="F113" s="41"/>
      <c r="G113" s="42"/>
      <c r="H113" s="43"/>
    </row>
    <row r="114" spans="1:8" s="3" customFormat="1" ht="12" customHeight="1">
      <c r="A114" s="38"/>
      <c r="B114" s="54" t="s">
        <v>87</v>
      </c>
      <c r="C114" s="45"/>
      <c r="D114" s="49"/>
      <c r="E114" s="42">
        <f>4*1</f>
        <v>4</v>
      </c>
      <c r="F114" s="41"/>
      <c r="G114" s="42"/>
      <c r="H114" s="43"/>
    </row>
    <row r="115" spans="1:8" s="3" customFormat="1" ht="12" customHeight="1">
      <c r="A115" s="38"/>
      <c r="B115" s="54" t="s">
        <v>218</v>
      </c>
      <c r="C115" s="45"/>
      <c r="D115" s="49"/>
      <c r="E115" s="42">
        <f>4*2</f>
        <v>8</v>
      </c>
      <c r="F115" s="41"/>
      <c r="G115" s="42"/>
      <c r="H115" s="43"/>
    </row>
    <row r="116" spans="1:8" s="3" customFormat="1" ht="12" customHeight="1">
      <c r="A116" s="38"/>
      <c r="B116" s="54" t="s">
        <v>219</v>
      </c>
      <c r="C116" s="45"/>
      <c r="D116" s="49"/>
      <c r="E116" s="42">
        <f>2*2</f>
        <v>4</v>
      </c>
      <c r="F116" s="41"/>
      <c r="G116" s="42"/>
      <c r="H116" s="43"/>
    </row>
    <row r="117" spans="1:8" s="3" customFormat="1" ht="12" customHeight="1">
      <c r="A117" s="38"/>
      <c r="B117" s="54" t="s">
        <v>103</v>
      </c>
      <c r="C117" s="45"/>
      <c r="D117" s="49"/>
      <c r="E117" s="42">
        <f>2*1</f>
        <v>2</v>
      </c>
      <c r="F117" s="41"/>
      <c r="G117" s="42"/>
      <c r="H117" s="43"/>
    </row>
    <row r="118" spans="1:8" s="3" customFormat="1" ht="12" customHeight="1">
      <c r="A118" s="38"/>
      <c r="B118" s="54" t="s">
        <v>220</v>
      </c>
      <c r="C118" s="45"/>
      <c r="D118" s="49"/>
      <c r="E118" s="42">
        <f>2*1</f>
        <v>2</v>
      </c>
      <c r="F118" s="41"/>
      <c r="G118" s="42"/>
      <c r="H118" s="43"/>
    </row>
    <row r="119" spans="1:8" s="3" customFormat="1" ht="12" customHeight="1">
      <c r="A119" s="38"/>
      <c r="B119" s="54" t="s">
        <v>88</v>
      </c>
      <c r="C119" s="45"/>
      <c r="D119" s="49"/>
      <c r="E119" s="42">
        <f>2*1</f>
        <v>2</v>
      </c>
      <c r="F119" s="41"/>
      <c r="G119" s="42"/>
      <c r="H119" s="43"/>
    </row>
    <row r="120" spans="1:8" s="3" customFormat="1" ht="12" customHeight="1">
      <c r="A120" s="38"/>
      <c r="B120" s="54" t="s">
        <v>104</v>
      </c>
      <c r="C120" s="45"/>
      <c r="D120" s="49"/>
      <c r="E120" s="42">
        <f>1*1</f>
        <v>1</v>
      </c>
      <c r="F120" s="41"/>
      <c r="G120" s="42"/>
      <c r="H120" s="43"/>
    </row>
    <row r="121" spans="1:8" s="3" customFormat="1" ht="12" customHeight="1">
      <c r="A121" s="38"/>
      <c r="B121" s="54" t="s">
        <v>221</v>
      </c>
      <c r="C121" s="45"/>
      <c r="D121" s="49"/>
      <c r="E121" s="42">
        <f>1</f>
        <v>1</v>
      </c>
      <c r="F121" s="41"/>
      <c r="G121" s="42"/>
      <c r="H121" s="43"/>
    </row>
    <row r="122" spans="1:8" s="3" customFormat="1" ht="12" customHeight="1">
      <c r="A122" s="38"/>
      <c r="B122" s="54" t="s">
        <v>222</v>
      </c>
      <c r="C122" s="45"/>
      <c r="D122" s="49"/>
      <c r="E122" s="42">
        <f>3</f>
        <v>3</v>
      </c>
      <c r="F122" s="41"/>
      <c r="G122" s="42"/>
      <c r="H122" s="43"/>
    </row>
    <row r="123" spans="1:8" s="3" customFormat="1" ht="12" customHeight="1">
      <c r="A123" s="38"/>
      <c r="B123" s="54" t="s">
        <v>223</v>
      </c>
      <c r="C123" s="45"/>
      <c r="D123" s="49"/>
      <c r="E123" s="42">
        <f>2</f>
        <v>2</v>
      </c>
      <c r="F123" s="41"/>
      <c r="G123" s="42"/>
      <c r="H123" s="43"/>
    </row>
    <row r="124" spans="1:8" s="3" customFormat="1" ht="12" customHeight="1">
      <c r="A124" s="38"/>
      <c r="B124" s="54" t="s">
        <v>224</v>
      </c>
      <c r="C124" s="45"/>
      <c r="D124" s="49"/>
      <c r="E124" s="42">
        <v>1</v>
      </c>
      <c r="F124" s="41"/>
      <c r="G124" s="42"/>
      <c r="H124" s="43"/>
    </row>
    <row r="125" spans="1:8" s="3" customFormat="1" ht="12" customHeight="1">
      <c r="A125" s="38"/>
      <c r="B125" s="54" t="s">
        <v>225</v>
      </c>
      <c r="C125" s="45"/>
      <c r="D125" s="49"/>
      <c r="E125" s="42">
        <v>1</v>
      </c>
      <c r="F125" s="41"/>
      <c r="G125" s="42"/>
      <c r="H125" s="43"/>
    </row>
    <row r="126" spans="1:8" s="3" customFormat="1" ht="12" customHeight="1">
      <c r="A126" s="38"/>
      <c r="B126" s="54" t="s">
        <v>226</v>
      </c>
      <c r="C126" s="45"/>
      <c r="D126" s="49"/>
      <c r="E126" s="42">
        <f>1*2</f>
        <v>2</v>
      </c>
      <c r="F126" s="41"/>
      <c r="G126" s="42"/>
      <c r="H126" s="43"/>
    </row>
    <row r="127" spans="1:8" s="3" customFormat="1" ht="12" customHeight="1">
      <c r="A127" s="38"/>
      <c r="B127" s="54" t="s">
        <v>227</v>
      </c>
      <c r="C127" s="45"/>
      <c r="D127" s="49"/>
      <c r="E127" s="42">
        <f>4</f>
        <v>4</v>
      </c>
      <c r="F127" s="41"/>
      <c r="G127" s="42"/>
      <c r="H127" s="43"/>
    </row>
    <row r="128" spans="1:8" s="3" customFormat="1" ht="12" customHeight="1">
      <c r="A128" s="38">
        <v>47</v>
      </c>
      <c r="B128" s="48" t="s">
        <v>143</v>
      </c>
      <c r="C128" s="48" t="s">
        <v>144</v>
      </c>
      <c r="D128" s="49" t="s">
        <v>21</v>
      </c>
      <c r="E128" s="42"/>
      <c r="F128" s="41">
        <v>2.21</v>
      </c>
      <c r="G128" s="42"/>
      <c r="H128" s="43">
        <f>F128*G128</f>
        <v>0</v>
      </c>
    </row>
    <row r="129" spans="1:8" s="3" customFormat="1" ht="12" customHeight="1">
      <c r="A129" s="38"/>
      <c r="B129" s="54" t="s">
        <v>229</v>
      </c>
      <c r="C129" s="54" t="s">
        <v>105</v>
      </c>
      <c r="D129" s="49"/>
      <c r="E129" s="42">
        <f>1.05*2.1</f>
        <v>2.2050000000000001</v>
      </c>
      <c r="F129" s="41"/>
      <c r="G129" s="42"/>
      <c r="H129" s="43"/>
    </row>
    <row r="130" spans="1:8" s="3" customFormat="1" ht="12" customHeight="1">
      <c r="A130" s="38">
        <v>48</v>
      </c>
      <c r="B130" s="54" t="s">
        <v>106</v>
      </c>
      <c r="C130" s="54" t="s">
        <v>107</v>
      </c>
      <c r="D130" s="49" t="s">
        <v>21</v>
      </c>
      <c r="E130" s="42"/>
      <c r="F130" s="41">
        <v>6.7</v>
      </c>
      <c r="G130" s="42"/>
      <c r="H130" s="43">
        <f>F130*G130</f>
        <v>0</v>
      </c>
    </row>
    <row r="131" spans="1:8" s="3" customFormat="1" ht="12" customHeight="1">
      <c r="A131" s="38"/>
      <c r="B131" s="45">
        <v>10</v>
      </c>
      <c r="C131" s="50" t="s">
        <v>240</v>
      </c>
      <c r="D131" s="49"/>
      <c r="E131" s="80">
        <f>0.4*0.9</f>
        <v>0.36000000000000004</v>
      </c>
      <c r="F131" s="41"/>
      <c r="G131" s="80"/>
      <c r="H131" s="43"/>
    </row>
    <row r="132" spans="1:8" s="3" customFormat="1" ht="12" customHeight="1">
      <c r="A132" s="38"/>
      <c r="B132" s="54" t="s">
        <v>244</v>
      </c>
      <c r="C132" s="50" t="s">
        <v>245</v>
      </c>
      <c r="D132" s="49"/>
      <c r="E132" s="80">
        <f>1.14*0.65*2</f>
        <v>1.482</v>
      </c>
      <c r="F132" s="41"/>
      <c r="G132" s="80"/>
      <c r="H132" s="43"/>
    </row>
    <row r="133" spans="1:8" s="3" customFormat="1" ht="12" customHeight="1">
      <c r="A133" s="38"/>
      <c r="B133" s="54" t="s">
        <v>88</v>
      </c>
      <c r="C133" s="50" t="s">
        <v>246</v>
      </c>
      <c r="D133" s="49"/>
      <c r="E133" s="80">
        <f>1.05*0.8</f>
        <v>0.84000000000000008</v>
      </c>
      <c r="F133" s="41"/>
      <c r="G133" s="80"/>
      <c r="H133" s="43"/>
    </row>
    <row r="134" spans="1:8" s="3" customFormat="1" ht="12" customHeight="1">
      <c r="A134" s="38"/>
      <c r="B134" s="54" t="s">
        <v>104</v>
      </c>
      <c r="C134" s="50" t="s">
        <v>248</v>
      </c>
      <c r="D134" s="49"/>
      <c r="E134" s="80">
        <f>1.14*0.6*2</f>
        <v>1.3679999999999999</v>
      </c>
      <c r="F134" s="41"/>
      <c r="G134" s="80"/>
      <c r="H134" s="43"/>
    </row>
    <row r="135" spans="1:8" s="3" customFormat="1" ht="12" customHeight="1">
      <c r="A135" s="38"/>
      <c r="B135" s="54" t="s">
        <v>221</v>
      </c>
      <c r="C135" s="50" t="s">
        <v>247</v>
      </c>
      <c r="D135" s="49"/>
      <c r="E135" s="80">
        <f>1.14*0.6</f>
        <v>0.68399999999999994</v>
      </c>
      <c r="F135" s="41"/>
      <c r="G135" s="80"/>
      <c r="H135" s="43"/>
    </row>
    <row r="136" spans="1:8" s="3" customFormat="1" ht="12" customHeight="1">
      <c r="A136" s="38"/>
      <c r="B136" s="54" t="s">
        <v>251</v>
      </c>
      <c r="C136" s="50" t="s">
        <v>252</v>
      </c>
      <c r="D136" s="49"/>
      <c r="E136" s="80">
        <f>0.65*0.85*2</f>
        <v>1.105</v>
      </c>
      <c r="F136" s="41"/>
      <c r="G136" s="80"/>
      <c r="H136" s="43"/>
    </row>
    <row r="137" spans="1:8" s="3" customFormat="1" ht="12" customHeight="1">
      <c r="A137" s="38"/>
      <c r="B137" s="54" t="s">
        <v>226</v>
      </c>
      <c r="C137" s="50" t="s">
        <v>254</v>
      </c>
      <c r="D137" s="49"/>
      <c r="E137" s="80">
        <f>0.48*0.9*2</f>
        <v>0.86399999999999999</v>
      </c>
      <c r="F137" s="41"/>
      <c r="G137" s="80"/>
      <c r="H137" s="43"/>
    </row>
    <row r="138" spans="1:8" s="3" customFormat="1" ht="12" customHeight="1">
      <c r="A138" s="38">
        <v>49</v>
      </c>
      <c r="B138" s="54" t="s">
        <v>108</v>
      </c>
      <c r="C138" s="54" t="s">
        <v>109</v>
      </c>
      <c r="D138" s="49" t="s">
        <v>21</v>
      </c>
      <c r="E138" s="42"/>
      <c r="F138" s="41">
        <v>60.57</v>
      </c>
      <c r="G138" s="42"/>
      <c r="H138" s="43">
        <f>F138*G138</f>
        <v>0</v>
      </c>
    </row>
    <row r="139" spans="1:8" s="3" customFormat="1" ht="12" customHeight="1">
      <c r="A139" s="38"/>
      <c r="B139" s="54" t="s">
        <v>83</v>
      </c>
      <c r="C139" s="50" t="s">
        <v>230</v>
      </c>
      <c r="D139" s="49"/>
      <c r="E139" s="80">
        <f>0.99*1.09</f>
        <v>1.0791000000000002</v>
      </c>
      <c r="F139" s="41"/>
      <c r="G139" s="80"/>
      <c r="H139" s="43"/>
    </row>
    <row r="140" spans="1:8" s="3" customFormat="1" ht="12" customHeight="1">
      <c r="A140" s="38"/>
      <c r="B140" s="54" t="s">
        <v>100</v>
      </c>
      <c r="C140" s="50" t="s">
        <v>231</v>
      </c>
      <c r="D140" s="49"/>
      <c r="E140" s="80">
        <f>0.99*1.09*2</f>
        <v>2.1582000000000003</v>
      </c>
      <c r="F140" s="41"/>
      <c r="G140" s="80"/>
      <c r="H140" s="43"/>
    </row>
    <row r="141" spans="1:8" s="3" customFormat="1" ht="12" customHeight="1">
      <c r="A141" s="38"/>
      <c r="B141" s="54" t="s">
        <v>94</v>
      </c>
      <c r="C141" s="50" t="s">
        <v>233</v>
      </c>
      <c r="D141" s="49"/>
      <c r="E141" s="80">
        <f>1.14*1.74*11</f>
        <v>21.819599999999998</v>
      </c>
      <c r="F141" s="41"/>
      <c r="G141" s="80"/>
      <c r="H141" s="43"/>
    </row>
    <row r="142" spans="1:8" s="3" customFormat="1" ht="12" customHeight="1">
      <c r="A142" s="38"/>
      <c r="B142" s="54" t="s">
        <v>234</v>
      </c>
      <c r="C142" s="50" t="s">
        <v>235</v>
      </c>
      <c r="D142" s="49"/>
      <c r="E142" s="80">
        <f>1.14*1.74*7</f>
        <v>13.885199999999999</v>
      </c>
      <c r="F142" s="41"/>
      <c r="G142" s="80"/>
      <c r="H142" s="43"/>
    </row>
    <row r="143" spans="1:8" s="3" customFormat="1" ht="12" customHeight="1">
      <c r="A143" s="38"/>
      <c r="B143" s="54" t="s">
        <v>66</v>
      </c>
      <c r="C143" s="50" t="s">
        <v>253</v>
      </c>
      <c r="D143" s="49"/>
      <c r="E143" s="80">
        <f>1.14*1.1*4</f>
        <v>5.016</v>
      </c>
      <c r="F143" s="41"/>
      <c r="G143" s="80"/>
      <c r="H143" s="43"/>
    </row>
    <row r="144" spans="1:8" s="3" customFormat="1" ht="15.75" customHeight="1">
      <c r="A144" s="38"/>
      <c r="B144" s="54" t="s">
        <v>236</v>
      </c>
      <c r="C144" s="50" t="s">
        <v>237</v>
      </c>
      <c r="D144" s="49"/>
      <c r="E144" s="80">
        <f>1.2*1.6*4</f>
        <v>7.68</v>
      </c>
      <c r="F144" s="41"/>
      <c r="G144" s="80"/>
      <c r="H144" s="43"/>
    </row>
    <row r="145" spans="1:8" s="3" customFormat="1" ht="15.75" customHeight="1">
      <c r="A145" s="38"/>
      <c r="B145" s="54" t="s">
        <v>219</v>
      </c>
      <c r="C145" s="50" t="s">
        <v>243</v>
      </c>
      <c r="D145" s="49"/>
      <c r="E145" s="80">
        <f>1.14*1.65*2</f>
        <v>3.7619999999999996</v>
      </c>
      <c r="F145" s="41"/>
      <c r="G145" s="80"/>
      <c r="H145" s="43"/>
    </row>
    <row r="146" spans="1:8" s="3" customFormat="1" ht="12" customHeight="1">
      <c r="A146" s="38"/>
      <c r="B146" s="54" t="s">
        <v>222</v>
      </c>
      <c r="C146" s="50" t="s">
        <v>249</v>
      </c>
      <c r="D146" s="49"/>
      <c r="E146" s="80">
        <f>1.42*1.3</f>
        <v>1.8459999999999999</v>
      </c>
      <c r="F146" s="41"/>
      <c r="G146" s="80"/>
      <c r="H146" s="43"/>
    </row>
    <row r="147" spans="1:8" s="3" customFormat="1" ht="12" customHeight="1">
      <c r="A147" s="38"/>
      <c r="B147" s="54" t="s">
        <v>223</v>
      </c>
      <c r="C147" s="50" t="s">
        <v>250</v>
      </c>
      <c r="D147" s="49"/>
      <c r="E147" s="80">
        <f>1.14*1.2</f>
        <v>1.3679999999999999</v>
      </c>
      <c r="F147" s="41"/>
      <c r="G147" s="80"/>
      <c r="H147" s="43"/>
    </row>
    <row r="148" spans="1:8" s="3" customFormat="1" ht="12" customHeight="1">
      <c r="A148" s="38"/>
      <c r="B148" s="54" t="s">
        <v>229</v>
      </c>
      <c r="C148" s="50" t="s">
        <v>257</v>
      </c>
      <c r="D148" s="49"/>
      <c r="E148" s="80">
        <f>0.94*2.08</f>
        <v>1.9552</v>
      </c>
      <c r="F148" s="41"/>
      <c r="G148" s="80"/>
      <c r="H148" s="43"/>
    </row>
    <row r="149" spans="1:8" s="3" customFormat="1" ht="12" customHeight="1">
      <c r="A149" s="38">
        <v>50</v>
      </c>
      <c r="B149" s="54" t="s">
        <v>110</v>
      </c>
      <c r="C149" s="54" t="s">
        <v>111</v>
      </c>
      <c r="D149" s="49" t="s">
        <v>21</v>
      </c>
      <c r="E149" s="42"/>
      <c r="F149" s="41">
        <v>25.88</v>
      </c>
      <c r="G149" s="42"/>
      <c r="H149" s="43">
        <f>F149*G149</f>
        <v>0</v>
      </c>
    </row>
    <row r="150" spans="1:8" s="3" customFormat="1" ht="12" customHeight="1">
      <c r="A150" s="38"/>
      <c r="B150" s="54" t="s">
        <v>84</v>
      </c>
      <c r="C150" s="50" t="s">
        <v>232</v>
      </c>
      <c r="D150" s="49"/>
      <c r="E150" s="80">
        <f>2*1.54*3</f>
        <v>9.24</v>
      </c>
      <c r="F150" s="41"/>
      <c r="G150" s="80"/>
      <c r="H150" s="43"/>
    </row>
    <row r="151" spans="1:8" s="3" customFormat="1" ht="12" customHeight="1">
      <c r="A151" s="38"/>
      <c r="B151" s="54" t="s">
        <v>238</v>
      </c>
      <c r="C151" s="50" t="s">
        <v>239</v>
      </c>
      <c r="D151" s="49"/>
      <c r="E151" s="80">
        <f>1.27*2.59*2</f>
        <v>6.5785999999999998</v>
      </c>
      <c r="F151" s="41"/>
      <c r="G151" s="80"/>
      <c r="H151" s="43"/>
    </row>
    <row r="152" spans="1:8" s="3" customFormat="1" ht="12" customHeight="1">
      <c r="A152" s="38"/>
      <c r="B152" s="54" t="s">
        <v>241</v>
      </c>
      <c r="C152" s="50" t="s">
        <v>242</v>
      </c>
      <c r="D152" s="49"/>
      <c r="E152" s="80">
        <f>1.42*1.65*3</f>
        <v>7.0289999999999999</v>
      </c>
      <c r="F152" s="41"/>
      <c r="G152" s="80"/>
      <c r="H152" s="43"/>
    </row>
    <row r="153" spans="1:8" s="3" customFormat="1" ht="12" customHeight="1">
      <c r="A153" s="38"/>
      <c r="B153" s="54" t="s">
        <v>228</v>
      </c>
      <c r="C153" s="50" t="s">
        <v>256</v>
      </c>
      <c r="D153" s="49"/>
      <c r="E153" s="80">
        <f>1.38*2.2</f>
        <v>3.036</v>
      </c>
      <c r="F153" s="41"/>
      <c r="G153" s="80"/>
      <c r="H153" s="43"/>
    </row>
    <row r="154" spans="1:8" s="3" customFormat="1" ht="11.25" customHeight="1">
      <c r="A154" s="38">
        <v>51</v>
      </c>
      <c r="B154" s="54" t="s">
        <v>112</v>
      </c>
      <c r="C154" s="54" t="s">
        <v>258</v>
      </c>
      <c r="D154" s="49" t="s">
        <v>21</v>
      </c>
      <c r="E154" s="42"/>
      <c r="F154" s="41">
        <v>4.24</v>
      </c>
      <c r="G154" s="42"/>
      <c r="H154" s="43">
        <f>F154*G154</f>
        <v>0</v>
      </c>
    </row>
    <row r="155" spans="1:8" s="3" customFormat="1" ht="11.25" customHeight="1">
      <c r="A155" s="38"/>
      <c r="B155" s="54" t="s">
        <v>227</v>
      </c>
      <c r="C155" s="54" t="s">
        <v>255</v>
      </c>
      <c r="D155" s="49"/>
      <c r="E155" s="42">
        <v>4.24</v>
      </c>
      <c r="F155" s="41"/>
      <c r="G155" s="42"/>
      <c r="H155" s="43"/>
    </row>
    <row r="156" spans="1:8" s="3" customFormat="1" ht="12" customHeight="1">
      <c r="A156" s="38">
        <v>52</v>
      </c>
      <c r="B156" s="48" t="s">
        <v>145</v>
      </c>
      <c r="C156" s="54" t="s">
        <v>113</v>
      </c>
      <c r="D156" s="49" t="s">
        <v>24</v>
      </c>
      <c r="E156" s="42"/>
      <c r="F156" s="41">
        <v>50.09</v>
      </c>
      <c r="G156" s="42"/>
      <c r="H156" s="43">
        <f>F156*G156</f>
        <v>0</v>
      </c>
    </row>
    <row r="157" spans="1:8" s="3" customFormat="1" ht="12" customHeight="1">
      <c r="A157" s="38"/>
      <c r="B157" s="54" t="s">
        <v>259</v>
      </c>
      <c r="C157" s="50" t="s">
        <v>260</v>
      </c>
      <c r="D157" s="49"/>
      <c r="E157" s="80">
        <f>3.42+7.6+39.07</f>
        <v>50.09</v>
      </c>
      <c r="F157" s="41"/>
      <c r="G157" s="80"/>
      <c r="H157" s="43"/>
    </row>
    <row r="158" spans="1:8" s="3" customFormat="1" ht="12" customHeight="1">
      <c r="A158" s="38">
        <v>53</v>
      </c>
      <c r="B158" s="48" t="s">
        <v>146</v>
      </c>
      <c r="C158" s="48" t="s">
        <v>147</v>
      </c>
      <c r="D158" s="49" t="s">
        <v>21</v>
      </c>
      <c r="E158" s="42"/>
      <c r="F158" s="59">
        <v>576.94000000000005</v>
      </c>
      <c r="G158" s="42"/>
      <c r="H158" s="43">
        <f>F158*G158</f>
        <v>0</v>
      </c>
    </row>
    <row r="159" spans="1:8" s="3" customFormat="1" ht="12" customHeight="1">
      <c r="A159" s="38"/>
      <c r="B159" s="48" t="s">
        <v>117</v>
      </c>
      <c r="C159" s="48" t="s">
        <v>262</v>
      </c>
      <c r="D159" s="49"/>
      <c r="E159" s="81">
        <f>(10.75-0.6*2)*(14.85-0.6*2)</f>
        <v>130.35750000000002</v>
      </c>
      <c r="F159" s="59"/>
      <c r="G159" s="81"/>
      <c r="H159" s="43"/>
    </row>
    <row r="160" spans="1:8" s="3" customFormat="1" ht="12" customHeight="1">
      <c r="A160" s="38"/>
      <c r="B160" s="48" t="s">
        <v>118</v>
      </c>
      <c r="C160" s="48" t="s">
        <v>263</v>
      </c>
      <c r="D160" s="49"/>
      <c r="E160" s="81">
        <f>(10.6-0.45*2)*(14.7-0.45*2)</f>
        <v>133.85999999999999</v>
      </c>
      <c r="F160" s="59"/>
      <c r="G160" s="81"/>
      <c r="H160" s="43"/>
    </row>
    <row r="161" spans="1:8" s="3" customFormat="1" ht="12" customHeight="1">
      <c r="A161" s="38"/>
      <c r="B161" s="48" t="s">
        <v>119</v>
      </c>
      <c r="C161" s="48" t="s">
        <v>263</v>
      </c>
      <c r="D161" s="49"/>
      <c r="E161" s="81">
        <f>(10.6-0.45*2)*(14.7-0.45*2)</f>
        <v>133.85999999999999</v>
      </c>
      <c r="F161" s="59"/>
      <c r="G161" s="81"/>
      <c r="H161" s="43"/>
    </row>
    <row r="162" spans="1:8" s="3" customFormat="1" ht="12" customHeight="1">
      <c r="A162" s="38"/>
      <c r="B162" s="48" t="s">
        <v>261</v>
      </c>
      <c r="C162" s="48" t="s">
        <v>263</v>
      </c>
      <c r="D162" s="49"/>
      <c r="E162" s="81">
        <f>(10.6-0.45*2)*(14.7-0.45*2)</f>
        <v>133.85999999999999</v>
      </c>
      <c r="F162" s="60"/>
      <c r="G162" s="81"/>
      <c r="H162" s="43"/>
    </row>
    <row r="163" spans="1:8" s="3" customFormat="1" ht="12" customHeight="1">
      <c r="A163" s="38"/>
      <c r="B163" s="48" t="s">
        <v>264</v>
      </c>
      <c r="C163" s="48" t="s">
        <v>265</v>
      </c>
      <c r="D163" s="49"/>
      <c r="E163" s="81">
        <f>7.5*6</f>
        <v>45</v>
      </c>
      <c r="F163" s="60"/>
      <c r="G163" s="81"/>
      <c r="H163" s="43"/>
    </row>
    <row r="164" spans="1:8" s="3" customFormat="1" ht="12.75" customHeight="1">
      <c r="A164" s="38">
        <v>54</v>
      </c>
      <c r="B164" s="45" t="s">
        <v>30</v>
      </c>
      <c r="C164" s="57" t="s">
        <v>31</v>
      </c>
      <c r="D164" s="49" t="s">
        <v>28</v>
      </c>
      <c r="E164" s="43"/>
      <c r="F164" s="59">
        <v>8.0719999999999992</v>
      </c>
      <c r="G164" s="43"/>
      <c r="H164" s="43">
        <f t="shared" ref="H164:H170" si="2">F164*G164</f>
        <v>0</v>
      </c>
    </row>
    <row r="165" spans="1:8" s="3" customFormat="1" ht="12.75" customHeight="1">
      <c r="A165" s="38">
        <v>55</v>
      </c>
      <c r="B165" s="45" t="s">
        <v>32</v>
      </c>
      <c r="C165" s="57" t="s">
        <v>33</v>
      </c>
      <c r="D165" s="40" t="s">
        <v>28</v>
      </c>
      <c r="E165" s="43"/>
      <c r="F165" s="59">
        <f>8.07*3</f>
        <v>24.21</v>
      </c>
      <c r="G165" s="43"/>
      <c r="H165" s="43">
        <f t="shared" si="2"/>
        <v>0</v>
      </c>
    </row>
    <row r="166" spans="1:8" s="3" customFormat="1" ht="12.75" customHeight="1">
      <c r="A166" s="38">
        <v>56</v>
      </c>
      <c r="B166" s="45" t="s">
        <v>34</v>
      </c>
      <c r="C166" s="57" t="s">
        <v>35</v>
      </c>
      <c r="D166" s="40" t="s">
        <v>28</v>
      </c>
      <c r="E166" s="43"/>
      <c r="F166" s="59">
        <v>8.07</v>
      </c>
      <c r="G166" s="43"/>
      <c r="H166" s="43">
        <f t="shared" si="2"/>
        <v>0</v>
      </c>
    </row>
    <row r="167" spans="1:8" s="3" customFormat="1" ht="12.75" customHeight="1">
      <c r="A167" s="38">
        <v>57</v>
      </c>
      <c r="B167" s="45" t="s">
        <v>36</v>
      </c>
      <c r="C167" s="46" t="s">
        <v>165</v>
      </c>
      <c r="D167" s="40" t="s">
        <v>28</v>
      </c>
      <c r="E167" s="43"/>
      <c r="F167" s="59">
        <f>19*8.07</f>
        <v>153.33000000000001</v>
      </c>
      <c r="G167" s="43"/>
      <c r="H167" s="43">
        <f t="shared" si="2"/>
        <v>0</v>
      </c>
    </row>
    <row r="168" spans="1:8" s="3" customFormat="1" ht="12.75" customHeight="1">
      <c r="A168" s="38">
        <v>58</v>
      </c>
      <c r="B168" s="45" t="s">
        <v>37</v>
      </c>
      <c r="C168" s="57" t="s">
        <v>38</v>
      </c>
      <c r="D168" s="40" t="s">
        <v>28</v>
      </c>
      <c r="E168" s="43"/>
      <c r="F168" s="59">
        <v>8.07</v>
      </c>
      <c r="G168" s="43"/>
      <c r="H168" s="43">
        <f t="shared" si="2"/>
        <v>0</v>
      </c>
    </row>
    <row r="169" spans="1:8" s="3" customFormat="1" ht="12.75" customHeight="1">
      <c r="A169" s="38">
        <v>59</v>
      </c>
      <c r="B169" s="45" t="s">
        <v>39</v>
      </c>
      <c r="C169" s="57" t="s">
        <v>40</v>
      </c>
      <c r="D169" s="40" t="s">
        <v>28</v>
      </c>
      <c r="E169" s="43"/>
      <c r="F169" s="59">
        <f>4*8.07</f>
        <v>32.28</v>
      </c>
      <c r="G169" s="43"/>
      <c r="H169" s="43">
        <f t="shared" si="2"/>
        <v>0</v>
      </c>
    </row>
    <row r="170" spans="1:8" s="3" customFormat="1" ht="12.75" customHeight="1">
      <c r="A170" s="38">
        <v>60</v>
      </c>
      <c r="B170" s="45" t="s">
        <v>41</v>
      </c>
      <c r="C170" s="57" t="s">
        <v>42</v>
      </c>
      <c r="D170" s="40" t="s">
        <v>28</v>
      </c>
      <c r="E170" s="43"/>
      <c r="F170" s="59">
        <v>8.07</v>
      </c>
      <c r="G170" s="43"/>
      <c r="H170" s="43">
        <f t="shared" si="2"/>
        <v>0</v>
      </c>
    </row>
    <row r="171" spans="1:8" s="28" customFormat="1" ht="12.75" customHeight="1">
      <c r="A171" s="38"/>
      <c r="B171" s="94" t="s">
        <v>43</v>
      </c>
      <c r="C171" s="95" t="s">
        <v>44</v>
      </c>
      <c r="D171" s="38"/>
      <c r="E171" s="61"/>
      <c r="F171" s="92"/>
      <c r="G171" s="61"/>
      <c r="H171" s="96">
        <f>H172</f>
        <v>0</v>
      </c>
    </row>
    <row r="172" spans="1:8" s="27" customFormat="1" ht="12.75" customHeight="1">
      <c r="A172" s="38">
        <v>61</v>
      </c>
      <c r="B172" s="88" t="s">
        <v>45</v>
      </c>
      <c r="C172" s="84" t="s">
        <v>166</v>
      </c>
      <c r="D172" s="38" t="s">
        <v>28</v>
      </c>
      <c r="E172" s="87"/>
      <c r="F172" s="86">
        <v>9.3539999999999992</v>
      </c>
      <c r="G172" s="87"/>
      <c r="H172" s="87">
        <f>F172*G172</f>
        <v>0</v>
      </c>
    </row>
    <row r="173" spans="1:8" s="11" customFormat="1" ht="12.75" customHeight="1">
      <c r="A173" s="38"/>
      <c r="B173" s="30" t="s">
        <v>1</v>
      </c>
      <c r="C173" s="31" t="s">
        <v>46</v>
      </c>
      <c r="D173" s="40"/>
      <c r="E173" s="34"/>
      <c r="F173" s="36"/>
      <c r="G173" s="34"/>
      <c r="H173" s="33">
        <f>H174+H179+H230+H234+H242+H253+H263+H319</f>
        <v>0</v>
      </c>
    </row>
    <row r="174" spans="1:8" s="28" customFormat="1" ht="12.75" customHeight="1">
      <c r="A174" s="38"/>
      <c r="B174" s="90" t="s">
        <v>47</v>
      </c>
      <c r="C174" s="91" t="s">
        <v>48</v>
      </c>
      <c r="D174" s="61"/>
      <c r="E174" s="61"/>
      <c r="F174" s="92"/>
      <c r="G174" s="61"/>
      <c r="H174" s="93">
        <f>SUM(H175:H178)</f>
        <v>0</v>
      </c>
    </row>
    <row r="175" spans="1:8" s="3" customFormat="1" ht="12.75" customHeight="1">
      <c r="A175" s="38">
        <v>62</v>
      </c>
      <c r="B175" s="45" t="s">
        <v>49</v>
      </c>
      <c r="C175" s="57" t="s">
        <v>50</v>
      </c>
      <c r="D175" s="40" t="s">
        <v>24</v>
      </c>
      <c r="E175" s="43"/>
      <c r="F175" s="41">
        <v>63.93</v>
      </c>
      <c r="G175" s="43"/>
      <c r="H175" s="43">
        <f>F175*G175</f>
        <v>0</v>
      </c>
    </row>
    <row r="176" spans="1:8" s="3" customFormat="1" ht="12.75" customHeight="1">
      <c r="A176" s="38"/>
      <c r="B176" s="45"/>
      <c r="C176" s="46" t="s">
        <v>77</v>
      </c>
      <c r="D176" s="62"/>
      <c r="E176" s="43">
        <v>63.93</v>
      </c>
      <c r="F176" s="41"/>
      <c r="G176" s="43"/>
      <c r="H176" s="43"/>
    </row>
    <row r="177" spans="1:8" s="3" customFormat="1" ht="12.75" customHeight="1">
      <c r="A177" s="38">
        <v>63</v>
      </c>
      <c r="B177" s="50" t="s">
        <v>51</v>
      </c>
      <c r="C177" s="46" t="s">
        <v>78</v>
      </c>
      <c r="D177" s="40" t="s">
        <v>24</v>
      </c>
      <c r="E177" s="43"/>
      <c r="F177" s="41">
        <v>63.93</v>
      </c>
      <c r="G177" s="43"/>
      <c r="H177" s="43">
        <f>F177*G177</f>
        <v>0</v>
      </c>
    </row>
    <row r="178" spans="1:8" s="3" customFormat="1" ht="12.75" customHeight="1">
      <c r="A178" s="38">
        <v>64</v>
      </c>
      <c r="B178" s="50" t="s">
        <v>52</v>
      </c>
      <c r="C178" s="57" t="s">
        <v>53</v>
      </c>
      <c r="D178" s="49" t="s">
        <v>28</v>
      </c>
      <c r="E178" s="42"/>
      <c r="F178" s="59">
        <v>0.17499999999999999</v>
      </c>
      <c r="G178" s="42"/>
      <c r="H178" s="43">
        <f>F178*G178</f>
        <v>0</v>
      </c>
    </row>
    <row r="179" spans="1:8" s="28" customFormat="1" ht="12.75" customHeight="1">
      <c r="A179" s="38"/>
      <c r="B179" s="94">
        <v>64</v>
      </c>
      <c r="C179" s="97" t="s">
        <v>79</v>
      </c>
      <c r="D179" s="38"/>
      <c r="E179" s="61"/>
      <c r="F179" s="92"/>
      <c r="G179" s="61"/>
      <c r="H179" s="96">
        <f>SUM(H180:H229)</f>
        <v>0</v>
      </c>
    </row>
    <row r="180" spans="1:8" s="3" customFormat="1" ht="12.75" customHeight="1">
      <c r="A180" s="38">
        <v>65</v>
      </c>
      <c r="B180" s="54" t="s">
        <v>80</v>
      </c>
      <c r="C180" s="46" t="s">
        <v>275</v>
      </c>
      <c r="D180" s="40" t="s">
        <v>29</v>
      </c>
      <c r="E180" s="43"/>
      <c r="F180" s="41">
        <v>1</v>
      </c>
      <c r="G180" s="43"/>
      <c r="H180" s="43">
        <f t="shared" ref="H180:H211" si="3">F180*G180</f>
        <v>0</v>
      </c>
    </row>
    <row r="181" spans="1:8" s="3" customFormat="1" ht="12.75" customHeight="1">
      <c r="A181" s="38">
        <v>66</v>
      </c>
      <c r="B181" s="54" t="s">
        <v>80</v>
      </c>
      <c r="C181" s="46" t="s">
        <v>276</v>
      </c>
      <c r="D181" s="40" t="s">
        <v>29</v>
      </c>
      <c r="E181" s="43"/>
      <c r="F181" s="41">
        <v>2</v>
      </c>
      <c r="G181" s="43"/>
      <c r="H181" s="43">
        <f t="shared" si="3"/>
        <v>0</v>
      </c>
    </row>
    <row r="182" spans="1:8" s="3" customFormat="1" ht="12.75" customHeight="1">
      <c r="A182" s="38">
        <v>67</v>
      </c>
      <c r="B182" s="54" t="s">
        <v>80</v>
      </c>
      <c r="C182" s="46" t="s">
        <v>277</v>
      </c>
      <c r="D182" s="40" t="s">
        <v>29</v>
      </c>
      <c r="E182" s="43"/>
      <c r="F182" s="41">
        <v>3</v>
      </c>
      <c r="G182" s="43"/>
      <c r="H182" s="43">
        <f t="shared" si="3"/>
        <v>0</v>
      </c>
    </row>
    <row r="183" spans="1:8" s="3" customFormat="1" ht="12.75" customHeight="1">
      <c r="A183" s="38">
        <v>68</v>
      </c>
      <c r="B183" s="54" t="s">
        <v>80</v>
      </c>
      <c r="C183" s="46" t="s">
        <v>278</v>
      </c>
      <c r="D183" s="40" t="s">
        <v>29</v>
      </c>
      <c r="E183" s="43"/>
      <c r="F183" s="41">
        <v>11</v>
      </c>
      <c r="G183" s="43"/>
      <c r="H183" s="43">
        <f t="shared" si="3"/>
        <v>0</v>
      </c>
    </row>
    <row r="184" spans="1:8" s="3" customFormat="1" ht="12.75" customHeight="1">
      <c r="A184" s="38">
        <v>69</v>
      </c>
      <c r="B184" s="54" t="s">
        <v>80</v>
      </c>
      <c r="C184" s="46" t="s">
        <v>279</v>
      </c>
      <c r="D184" s="40" t="s">
        <v>29</v>
      </c>
      <c r="E184" s="43"/>
      <c r="F184" s="41">
        <v>4</v>
      </c>
      <c r="G184" s="43"/>
      <c r="H184" s="43">
        <f t="shared" si="3"/>
        <v>0</v>
      </c>
    </row>
    <row r="185" spans="1:8" s="3" customFormat="1" ht="12.75" customHeight="1">
      <c r="A185" s="38">
        <v>70</v>
      </c>
      <c r="B185" s="54" t="s">
        <v>80</v>
      </c>
      <c r="C185" s="46" t="s">
        <v>280</v>
      </c>
      <c r="D185" s="40" t="s">
        <v>29</v>
      </c>
      <c r="E185" s="43"/>
      <c r="F185" s="41">
        <v>1</v>
      </c>
      <c r="G185" s="43"/>
      <c r="H185" s="43">
        <f t="shared" si="3"/>
        <v>0</v>
      </c>
    </row>
    <row r="186" spans="1:8" s="3" customFormat="1" ht="12.75" customHeight="1">
      <c r="A186" s="38">
        <v>71</v>
      </c>
      <c r="B186" s="54" t="s">
        <v>80</v>
      </c>
      <c r="C186" s="46" t="s">
        <v>281</v>
      </c>
      <c r="D186" s="40" t="s">
        <v>29</v>
      </c>
      <c r="E186" s="43"/>
      <c r="F186" s="41">
        <v>1</v>
      </c>
      <c r="G186" s="43"/>
      <c r="H186" s="43">
        <f t="shared" si="3"/>
        <v>0</v>
      </c>
    </row>
    <row r="187" spans="1:8" s="3" customFormat="1" ht="12.75" customHeight="1">
      <c r="A187" s="38">
        <v>72</v>
      </c>
      <c r="B187" s="54" t="s">
        <v>80</v>
      </c>
      <c r="C187" s="46" t="s">
        <v>282</v>
      </c>
      <c r="D187" s="40" t="s">
        <v>29</v>
      </c>
      <c r="E187" s="43"/>
      <c r="F187" s="41">
        <v>1</v>
      </c>
      <c r="G187" s="43"/>
      <c r="H187" s="43">
        <f t="shared" si="3"/>
        <v>0</v>
      </c>
    </row>
    <row r="188" spans="1:8" s="3" customFormat="1" ht="12.75" customHeight="1">
      <c r="A188" s="38">
        <v>73</v>
      </c>
      <c r="B188" s="54" t="s">
        <v>80</v>
      </c>
      <c r="C188" s="46" t="s">
        <v>283</v>
      </c>
      <c r="D188" s="40" t="s">
        <v>29</v>
      </c>
      <c r="E188" s="43"/>
      <c r="F188" s="41">
        <v>2</v>
      </c>
      <c r="G188" s="43"/>
      <c r="H188" s="43">
        <f t="shared" si="3"/>
        <v>0</v>
      </c>
    </row>
    <row r="189" spans="1:8" s="3" customFormat="1" ht="12.75" customHeight="1">
      <c r="A189" s="38">
        <v>74</v>
      </c>
      <c r="B189" s="54" t="s">
        <v>80</v>
      </c>
      <c r="C189" s="46" t="s">
        <v>284</v>
      </c>
      <c r="D189" s="40" t="s">
        <v>29</v>
      </c>
      <c r="E189" s="43"/>
      <c r="F189" s="41">
        <v>2</v>
      </c>
      <c r="G189" s="43"/>
      <c r="H189" s="43">
        <f t="shared" si="3"/>
        <v>0</v>
      </c>
    </row>
    <row r="190" spans="1:8" s="3" customFormat="1" ht="12.75" customHeight="1">
      <c r="A190" s="38">
        <v>75</v>
      </c>
      <c r="B190" s="54" t="s">
        <v>80</v>
      </c>
      <c r="C190" s="46" t="s">
        <v>285</v>
      </c>
      <c r="D190" s="40" t="s">
        <v>29</v>
      </c>
      <c r="E190" s="43"/>
      <c r="F190" s="41">
        <v>2</v>
      </c>
      <c r="G190" s="43"/>
      <c r="H190" s="43">
        <f t="shared" si="3"/>
        <v>0</v>
      </c>
    </row>
    <row r="191" spans="1:8" s="3" customFormat="1" ht="12.75" customHeight="1">
      <c r="A191" s="38">
        <v>76</v>
      </c>
      <c r="B191" s="54" t="s">
        <v>80</v>
      </c>
      <c r="C191" s="46" t="s">
        <v>286</v>
      </c>
      <c r="D191" s="40" t="s">
        <v>29</v>
      </c>
      <c r="E191" s="43"/>
      <c r="F191" s="41">
        <v>1</v>
      </c>
      <c r="G191" s="43"/>
      <c r="H191" s="43">
        <f t="shared" si="3"/>
        <v>0</v>
      </c>
    </row>
    <row r="192" spans="1:8" s="3" customFormat="1" ht="12.75" customHeight="1">
      <c r="A192" s="38">
        <v>77</v>
      </c>
      <c r="B192" s="54" t="s">
        <v>80</v>
      </c>
      <c r="C192" s="46" t="s">
        <v>287</v>
      </c>
      <c r="D192" s="40" t="s">
        <v>29</v>
      </c>
      <c r="E192" s="43"/>
      <c r="F192" s="41">
        <v>1</v>
      </c>
      <c r="G192" s="43"/>
      <c r="H192" s="43">
        <f t="shared" si="3"/>
        <v>0</v>
      </c>
    </row>
    <row r="193" spans="1:8" s="3" customFormat="1" ht="12.75" customHeight="1">
      <c r="A193" s="38">
        <v>78</v>
      </c>
      <c r="B193" s="54" t="s">
        <v>80</v>
      </c>
      <c r="C193" s="46" t="s">
        <v>292</v>
      </c>
      <c r="D193" s="40" t="s">
        <v>29</v>
      </c>
      <c r="E193" s="43"/>
      <c r="F193" s="41">
        <v>1</v>
      </c>
      <c r="G193" s="43"/>
      <c r="H193" s="43">
        <f t="shared" si="3"/>
        <v>0</v>
      </c>
    </row>
    <row r="194" spans="1:8" s="3" customFormat="1" ht="12.75" customHeight="1">
      <c r="A194" s="38">
        <v>79</v>
      </c>
      <c r="B194" s="54" t="s">
        <v>80</v>
      </c>
      <c r="C194" s="46" t="s">
        <v>288</v>
      </c>
      <c r="D194" s="40" t="s">
        <v>29</v>
      </c>
      <c r="E194" s="43"/>
      <c r="F194" s="41">
        <v>1</v>
      </c>
      <c r="G194" s="43"/>
      <c r="H194" s="43">
        <f t="shared" si="3"/>
        <v>0</v>
      </c>
    </row>
    <row r="195" spans="1:8" s="3" customFormat="1" ht="12.75" customHeight="1">
      <c r="A195" s="38">
        <v>80</v>
      </c>
      <c r="B195" s="54" t="s">
        <v>80</v>
      </c>
      <c r="C195" s="46" t="s">
        <v>289</v>
      </c>
      <c r="D195" s="40" t="s">
        <v>29</v>
      </c>
      <c r="E195" s="43"/>
      <c r="F195" s="41">
        <v>2</v>
      </c>
      <c r="G195" s="43"/>
      <c r="H195" s="43">
        <f t="shared" si="3"/>
        <v>0</v>
      </c>
    </row>
    <row r="196" spans="1:8" s="3" customFormat="1" ht="12.75" customHeight="1">
      <c r="A196" s="38">
        <v>81</v>
      </c>
      <c r="B196" s="54" t="s">
        <v>80</v>
      </c>
      <c r="C196" s="46" t="s">
        <v>290</v>
      </c>
      <c r="D196" s="40" t="s">
        <v>29</v>
      </c>
      <c r="E196" s="43"/>
      <c r="F196" s="41">
        <v>2</v>
      </c>
      <c r="G196" s="43"/>
      <c r="H196" s="43">
        <f t="shared" si="3"/>
        <v>0</v>
      </c>
    </row>
    <row r="197" spans="1:8" s="3" customFormat="1" ht="12.75" customHeight="1">
      <c r="A197" s="38">
        <v>82</v>
      </c>
      <c r="B197" s="54" t="s">
        <v>80</v>
      </c>
      <c r="C197" s="46" t="s">
        <v>274</v>
      </c>
      <c r="D197" s="40" t="s">
        <v>29</v>
      </c>
      <c r="E197" s="43"/>
      <c r="F197" s="41">
        <v>1</v>
      </c>
      <c r="G197" s="43"/>
      <c r="H197" s="43">
        <f t="shared" si="3"/>
        <v>0</v>
      </c>
    </row>
    <row r="198" spans="1:8" s="3" customFormat="1" ht="12.75" customHeight="1">
      <c r="A198" s="38">
        <v>83</v>
      </c>
      <c r="B198" s="54" t="s">
        <v>80</v>
      </c>
      <c r="C198" s="46" t="s">
        <v>291</v>
      </c>
      <c r="D198" s="40" t="s">
        <v>29</v>
      </c>
      <c r="E198" s="43"/>
      <c r="F198" s="41">
        <v>1</v>
      </c>
      <c r="G198" s="43"/>
      <c r="H198" s="43">
        <f t="shared" si="3"/>
        <v>0</v>
      </c>
    </row>
    <row r="199" spans="1:8" s="3" customFormat="1" ht="12.75" customHeight="1">
      <c r="A199" s="38">
        <v>84</v>
      </c>
      <c r="B199" s="54" t="s">
        <v>80</v>
      </c>
      <c r="C199" s="46" t="s">
        <v>293</v>
      </c>
      <c r="D199" s="40" t="s">
        <v>29</v>
      </c>
      <c r="E199" s="43"/>
      <c r="F199" s="41">
        <v>1</v>
      </c>
      <c r="G199" s="43"/>
      <c r="H199" s="43">
        <f t="shared" si="3"/>
        <v>0</v>
      </c>
    </row>
    <row r="200" spans="1:8" s="3" customFormat="1" ht="12.75" customHeight="1">
      <c r="A200" s="38">
        <v>85</v>
      </c>
      <c r="B200" s="54" t="s">
        <v>80</v>
      </c>
      <c r="C200" s="46" t="s">
        <v>294</v>
      </c>
      <c r="D200" s="40" t="s">
        <v>29</v>
      </c>
      <c r="E200" s="43"/>
      <c r="F200" s="41">
        <v>2</v>
      </c>
      <c r="G200" s="43"/>
      <c r="H200" s="43">
        <f t="shared" si="3"/>
        <v>0</v>
      </c>
    </row>
    <row r="201" spans="1:8" s="3" customFormat="1" ht="12.75" customHeight="1">
      <c r="A201" s="38">
        <v>86</v>
      </c>
      <c r="B201" s="54" t="s">
        <v>80</v>
      </c>
      <c r="C201" s="46" t="s">
        <v>295</v>
      </c>
      <c r="D201" s="40" t="s">
        <v>29</v>
      </c>
      <c r="E201" s="43"/>
      <c r="F201" s="41">
        <v>1</v>
      </c>
      <c r="G201" s="43"/>
      <c r="H201" s="43">
        <f t="shared" si="3"/>
        <v>0</v>
      </c>
    </row>
    <row r="202" spans="1:8" s="3" customFormat="1" ht="12.75" customHeight="1">
      <c r="A202" s="38">
        <v>87</v>
      </c>
      <c r="B202" s="54" t="s">
        <v>80</v>
      </c>
      <c r="C202" s="46" t="s">
        <v>296</v>
      </c>
      <c r="D202" s="40" t="s">
        <v>29</v>
      </c>
      <c r="E202" s="43"/>
      <c r="F202" s="41">
        <v>1</v>
      </c>
      <c r="G202" s="43"/>
      <c r="H202" s="43">
        <f t="shared" si="3"/>
        <v>0</v>
      </c>
    </row>
    <row r="203" spans="1:8" s="3" customFormat="1" ht="12.75" customHeight="1">
      <c r="A203" s="38">
        <v>88</v>
      </c>
      <c r="B203" s="54" t="s">
        <v>80</v>
      </c>
      <c r="C203" s="46" t="s">
        <v>297</v>
      </c>
      <c r="D203" s="40" t="s">
        <v>29</v>
      </c>
      <c r="E203" s="43"/>
      <c r="F203" s="41">
        <v>1</v>
      </c>
      <c r="G203" s="43"/>
      <c r="H203" s="43">
        <f t="shared" si="3"/>
        <v>0</v>
      </c>
    </row>
    <row r="204" spans="1:8" s="3" customFormat="1" ht="12.75" customHeight="1">
      <c r="A204" s="38">
        <v>89</v>
      </c>
      <c r="B204" s="54" t="s">
        <v>80</v>
      </c>
      <c r="C204" s="46" t="s">
        <v>298</v>
      </c>
      <c r="D204" s="40" t="s">
        <v>29</v>
      </c>
      <c r="E204" s="43"/>
      <c r="F204" s="41">
        <v>1</v>
      </c>
      <c r="G204" s="43"/>
      <c r="H204" s="43">
        <f t="shared" si="3"/>
        <v>0</v>
      </c>
    </row>
    <row r="205" spans="1:8" s="3" customFormat="1" ht="12.75" customHeight="1">
      <c r="A205" s="38">
        <v>90</v>
      </c>
      <c r="B205" s="54" t="s">
        <v>80</v>
      </c>
      <c r="C205" s="46" t="s">
        <v>299</v>
      </c>
      <c r="D205" s="40" t="s">
        <v>29</v>
      </c>
      <c r="E205" s="43"/>
      <c r="F205" s="41">
        <v>1</v>
      </c>
      <c r="G205" s="43"/>
      <c r="H205" s="43">
        <f t="shared" si="3"/>
        <v>0</v>
      </c>
    </row>
    <row r="206" spans="1:8" s="3" customFormat="1" ht="12.75" customHeight="1">
      <c r="A206" s="38">
        <v>91</v>
      </c>
      <c r="B206" s="54" t="s">
        <v>80</v>
      </c>
      <c r="C206" s="46" t="s">
        <v>300</v>
      </c>
      <c r="D206" s="40" t="s">
        <v>29</v>
      </c>
      <c r="E206" s="43"/>
      <c r="F206" s="41">
        <v>2</v>
      </c>
      <c r="G206" s="43"/>
      <c r="H206" s="43">
        <f t="shared" si="3"/>
        <v>0</v>
      </c>
    </row>
    <row r="207" spans="1:8" s="3" customFormat="1" ht="12.75" customHeight="1">
      <c r="A207" s="38">
        <v>92</v>
      </c>
      <c r="B207" s="54" t="s">
        <v>80</v>
      </c>
      <c r="C207" s="46" t="s">
        <v>301</v>
      </c>
      <c r="D207" s="40" t="s">
        <v>29</v>
      </c>
      <c r="E207" s="43"/>
      <c r="F207" s="41">
        <v>2</v>
      </c>
      <c r="G207" s="43"/>
      <c r="H207" s="43">
        <f t="shared" si="3"/>
        <v>0</v>
      </c>
    </row>
    <row r="208" spans="1:8" s="3" customFormat="1" ht="12.75" customHeight="1">
      <c r="A208" s="38">
        <v>93</v>
      </c>
      <c r="B208" s="54" t="s">
        <v>80</v>
      </c>
      <c r="C208" s="46" t="s">
        <v>302</v>
      </c>
      <c r="D208" s="40" t="s">
        <v>29</v>
      </c>
      <c r="E208" s="43"/>
      <c r="F208" s="41">
        <v>1</v>
      </c>
      <c r="G208" s="43"/>
      <c r="H208" s="43">
        <f t="shared" si="3"/>
        <v>0</v>
      </c>
    </row>
    <row r="209" spans="1:8" s="3" customFormat="1" ht="12.75" customHeight="1">
      <c r="A209" s="38">
        <v>94</v>
      </c>
      <c r="B209" s="54" t="s">
        <v>80</v>
      </c>
      <c r="C209" s="46" t="s">
        <v>303</v>
      </c>
      <c r="D209" s="40" t="s">
        <v>29</v>
      </c>
      <c r="E209" s="43"/>
      <c r="F209" s="41">
        <v>1</v>
      </c>
      <c r="G209" s="43"/>
      <c r="H209" s="43">
        <f t="shared" si="3"/>
        <v>0</v>
      </c>
    </row>
    <row r="210" spans="1:8" s="3" customFormat="1" ht="12.75" customHeight="1">
      <c r="A210" s="38">
        <v>95</v>
      </c>
      <c r="B210" s="54" t="s">
        <v>80</v>
      </c>
      <c r="C210" s="46" t="s">
        <v>304</v>
      </c>
      <c r="D210" s="40" t="s">
        <v>29</v>
      </c>
      <c r="E210" s="43"/>
      <c r="F210" s="41">
        <v>1</v>
      </c>
      <c r="G210" s="43"/>
      <c r="H210" s="43">
        <f t="shared" si="3"/>
        <v>0</v>
      </c>
    </row>
    <row r="211" spans="1:8" s="3" customFormat="1" ht="24.95" customHeight="1">
      <c r="A211" s="38">
        <v>96</v>
      </c>
      <c r="B211" s="54" t="s">
        <v>81</v>
      </c>
      <c r="C211" s="46" t="s">
        <v>82</v>
      </c>
      <c r="D211" s="49" t="s">
        <v>21</v>
      </c>
      <c r="E211" s="43"/>
      <c r="F211" s="41">
        <v>41.79</v>
      </c>
      <c r="G211" s="43"/>
      <c r="H211" s="43">
        <f t="shared" si="3"/>
        <v>0</v>
      </c>
    </row>
    <row r="212" spans="1:8" s="3" customFormat="1" ht="12.75" customHeight="1">
      <c r="A212" s="38"/>
      <c r="B212" s="54" t="s">
        <v>83</v>
      </c>
      <c r="C212" s="46" t="s">
        <v>305</v>
      </c>
      <c r="D212" s="40"/>
      <c r="E212" s="82">
        <f>0.99*1.09*1</f>
        <v>1.0791000000000002</v>
      </c>
      <c r="F212" s="41"/>
      <c r="G212" s="82"/>
      <c r="H212" s="43"/>
    </row>
    <row r="213" spans="1:8" s="3" customFormat="1" ht="12.75" customHeight="1">
      <c r="A213" s="38"/>
      <c r="B213" s="54" t="s">
        <v>100</v>
      </c>
      <c r="C213" s="46" t="s">
        <v>231</v>
      </c>
      <c r="D213" s="40"/>
      <c r="E213" s="82">
        <f>0.99*1.09*2</f>
        <v>2.1582000000000003</v>
      </c>
      <c r="F213" s="41"/>
      <c r="G213" s="82"/>
      <c r="H213" s="43"/>
    </row>
    <row r="214" spans="1:8" s="3" customFormat="1" ht="12.75" customHeight="1">
      <c r="A214" s="38"/>
      <c r="B214" s="54" t="s">
        <v>94</v>
      </c>
      <c r="C214" s="46" t="s">
        <v>235</v>
      </c>
      <c r="D214" s="40"/>
      <c r="E214" s="82">
        <f>1.14*1.74*7</f>
        <v>13.885199999999999</v>
      </c>
      <c r="F214" s="41"/>
      <c r="G214" s="82"/>
      <c r="H214" s="43"/>
    </row>
    <row r="215" spans="1:8" s="3" customFormat="1" ht="12.75" customHeight="1">
      <c r="A215" s="38"/>
      <c r="B215" s="54" t="s">
        <v>306</v>
      </c>
      <c r="C215" s="46" t="s">
        <v>307</v>
      </c>
      <c r="D215" s="40"/>
      <c r="E215" s="82">
        <f>1.14*1.74*6</f>
        <v>11.901599999999998</v>
      </c>
      <c r="F215" s="41"/>
      <c r="G215" s="82"/>
      <c r="H215" s="43"/>
    </row>
    <row r="216" spans="1:8" s="3" customFormat="1" ht="12.75" customHeight="1">
      <c r="A216" s="38"/>
      <c r="B216" s="54" t="s">
        <v>86</v>
      </c>
      <c r="C216" s="46" t="s">
        <v>308</v>
      </c>
      <c r="D216" s="40"/>
      <c r="E216" s="82">
        <f>1.2*1.6*1</f>
        <v>1.92</v>
      </c>
      <c r="F216" s="41"/>
      <c r="G216" s="82"/>
      <c r="H216" s="43"/>
    </row>
    <row r="217" spans="1:8" s="3" customFormat="1" ht="12.75" customHeight="1">
      <c r="A217" s="38"/>
      <c r="B217" s="54" t="s">
        <v>217</v>
      </c>
      <c r="C217" s="46" t="s">
        <v>308</v>
      </c>
      <c r="D217" s="40"/>
      <c r="E217" s="82">
        <f>1.2*1.6*1</f>
        <v>1.92</v>
      </c>
      <c r="F217" s="41"/>
      <c r="G217" s="82"/>
      <c r="H217" s="43"/>
    </row>
    <row r="218" spans="1:8" s="3" customFormat="1" ht="12.75" customHeight="1">
      <c r="A218" s="38"/>
      <c r="B218" s="54" t="s">
        <v>309</v>
      </c>
      <c r="C218" s="46" t="s">
        <v>239</v>
      </c>
      <c r="D218" s="40"/>
      <c r="E218" s="82">
        <f>1.27*2.59*2</f>
        <v>6.5785999999999998</v>
      </c>
      <c r="F218" s="41"/>
      <c r="G218" s="82"/>
      <c r="H218" s="43"/>
    </row>
    <row r="219" spans="1:8" s="3" customFormat="1" ht="12.75" customHeight="1">
      <c r="A219" s="38"/>
      <c r="B219" s="54" t="s">
        <v>87</v>
      </c>
      <c r="C219" s="46" t="s">
        <v>310</v>
      </c>
      <c r="D219" s="40"/>
      <c r="E219" s="82">
        <f>1.42*1.65*1</f>
        <v>2.343</v>
      </c>
      <c r="F219" s="41"/>
      <c r="G219" s="82"/>
      <c r="H219" s="43"/>
    </row>
    <row r="220" spans="1:8" s="3" customFormat="1" ht="12.75" customHeight="1">
      <c r="A220" s="38">
        <v>97</v>
      </c>
      <c r="B220" s="48" t="s">
        <v>311</v>
      </c>
      <c r="C220" s="46" t="s">
        <v>312</v>
      </c>
      <c r="D220" s="49" t="s">
        <v>24</v>
      </c>
      <c r="E220" s="42"/>
      <c r="F220" s="41">
        <f>1.1*230.17</f>
        <v>253.18700000000001</v>
      </c>
      <c r="G220" s="42"/>
      <c r="H220" s="43">
        <f>F220*G220</f>
        <v>0</v>
      </c>
    </row>
    <row r="221" spans="1:8" s="3" customFormat="1" ht="24.95" customHeight="1">
      <c r="A221" s="38">
        <v>98</v>
      </c>
      <c r="B221" s="48" t="s">
        <v>148</v>
      </c>
      <c r="C221" s="46" t="s">
        <v>89</v>
      </c>
      <c r="D221" s="49" t="s">
        <v>24</v>
      </c>
      <c r="E221" s="43"/>
      <c r="F221" s="41">
        <v>291.83999999999997</v>
      </c>
      <c r="G221" s="43"/>
      <c r="H221" s="43">
        <f>F221*G221</f>
        <v>0</v>
      </c>
    </row>
    <row r="222" spans="1:8" s="11" customFormat="1" ht="24.95" customHeight="1">
      <c r="A222" s="38">
        <v>99</v>
      </c>
      <c r="B222" s="48" t="s">
        <v>391</v>
      </c>
      <c r="C222" s="46" t="s">
        <v>348</v>
      </c>
      <c r="D222" s="49" t="s">
        <v>24</v>
      </c>
      <c r="E222" s="43"/>
      <c r="F222" s="41">
        <v>27.4</v>
      </c>
      <c r="G222" s="43"/>
      <c r="H222" s="43">
        <f>F222*G222</f>
        <v>0</v>
      </c>
    </row>
    <row r="223" spans="1:8" s="11" customFormat="1" ht="12.75" customHeight="1">
      <c r="A223" s="38"/>
      <c r="B223" s="48">
        <v>2</v>
      </c>
      <c r="C223" s="46" t="s">
        <v>343</v>
      </c>
      <c r="D223" s="49"/>
      <c r="E223" s="46">
        <f>(1.15+1.25)*2*2</f>
        <v>9.6</v>
      </c>
      <c r="F223" s="41"/>
      <c r="G223" s="46"/>
      <c r="H223" s="43"/>
    </row>
    <row r="224" spans="1:8" s="11" customFormat="1" ht="12.75" customHeight="1">
      <c r="A224" s="38"/>
      <c r="B224" s="48">
        <v>1</v>
      </c>
      <c r="C224" s="46" t="s">
        <v>344</v>
      </c>
      <c r="D224" s="49"/>
      <c r="E224" s="46">
        <f>(1.15+1.25)*2</f>
        <v>4.8</v>
      </c>
      <c r="F224" s="41"/>
      <c r="G224" s="46"/>
      <c r="H224" s="43"/>
    </row>
    <row r="225" spans="1:8" s="11" customFormat="1" ht="12.75" customHeight="1">
      <c r="A225" s="38"/>
      <c r="B225" s="48" t="s">
        <v>227</v>
      </c>
      <c r="C225" s="46" t="s">
        <v>345</v>
      </c>
      <c r="D225" s="49"/>
      <c r="E225" s="46">
        <f>2.5+1.5</f>
        <v>4</v>
      </c>
      <c r="F225" s="41"/>
      <c r="G225" s="46"/>
      <c r="H225" s="43"/>
    </row>
    <row r="226" spans="1:8" s="11" customFormat="1" ht="12.75" customHeight="1">
      <c r="A226" s="38"/>
      <c r="B226" s="48" t="s">
        <v>342</v>
      </c>
      <c r="C226" s="46" t="s">
        <v>346</v>
      </c>
      <c r="D226" s="49"/>
      <c r="E226" s="46">
        <f>0.2*4+1.15*2</f>
        <v>3.0999999999999996</v>
      </c>
      <c r="F226" s="41"/>
      <c r="G226" s="46"/>
      <c r="H226" s="43"/>
    </row>
    <row r="227" spans="1:8" s="11" customFormat="1" ht="12.75" customHeight="1">
      <c r="A227" s="38"/>
      <c r="B227" s="48">
        <v>19</v>
      </c>
      <c r="C227" s="46">
        <v>2.7</v>
      </c>
      <c r="D227" s="49"/>
      <c r="E227" s="46">
        <f>2.7</f>
        <v>2.7</v>
      </c>
      <c r="F227" s="41"/>
      <c r="G227" s="46"/>
      <c r="H227" s="43"/>
    </row>
    <row r="228" spans="1:8" s="27" customFormat="1" ht="12.75" customHeight="1">
      <c r="A228" s="38"/>
      <c r="B228" s="83" t="s">
        <v>229</v>
      </c>
      <c r="C228" s="46" t="s">
        <v>347</v>
      </c>
      <c r="D228" s="85"/>
      <c r="E228" s="46">
        <f>1.6*2</f>
        <v>3.2</v>
      </c>
      <c r="F228" s="86"/>
      <c r="G228" s="46"/>
      <c r="H228" s="87"/>
    </row>
    <row r="229" spans="1:8" s="27" customFormat="1" ht="12.75" customHeight="1">
      <c r="A229" s="38">
        <v>100</v>
      </c>
      <c r="B229" s="83" t="s">
        <v>149</v>
      </c>
      <c r="C229" s="84" t="s">
        <v>150</v>
      </c>
      <c r="D229" s="85" t="s">
        <v>28</v>
      </c>
      <c r="E229" s="87"/>
      <c r="F229" s="86">
        <v>0.14599999999999999</v>
      </c>
      <c r="G229" s="87"/>
      <c r="H229" s="87">
        <f>F229*G229</f>
        <v>0</v>
      </c>
    </row>
    <row r="230" spans="1:8" s="28" customFormat="1" ht="12.75" customHeight="1">
      <c r="A230" s="38"/>
      <c r="B230" s="90">
        <v>767</v>
      </c>
      <c r="C230" s="98" t="s">
        <v>90</v>
      </c>
      <c r="D230" s="61"/>
      <c r="E230" s="61"/>
      <c r="F230" s="92"/>
      <c r="G230" s="61"/>
      <c r="H230" s="93">
        <f>SUM(H231:H233)</f>
        <v>0</v>
      </c>
    </row>
    <row r="231" spans="1:8" s="3" customFormat="1" ht="12.75" customHeight="1">
      <c r="A231" s="38">
        <v>101</v>
      </c>
      <c r="B231" s="48" t="s">
        <v>151</v>
      </c>
      <c r="C231" s="46" t="s">
        <v>91</v>
      </c>
      <c r="D231" s="49" t="s">
        <v>76</v>
      </c>
      <c r="E231" s="43"/>
      <c r="F231" s="41">
        <v>20</v>
      </c>
      <c r="G231" s="43"/>
      <c r="H231" s="43">
        <f>F231*G231</f>
        <v>0</v>
      </c>
    </row>
    <row r="232" spans="1:8" s="3" customFormat="1" ht="12.75" customHeight="1">
      <c r="A232" s="38"/>
      <c r="B232" s="48"/>
      <c r="C232" s="46" t="s">
        <v>313</v>
      </c>
      <c r="D232" s="49"/>
      <c r="E232" s="43">
        <f>((1.14/0.25)+2)*3</f>
        <v>19.68</v>
      </c>
      <c r="F232" s="41"/>
      <c r="G232" s="43"/>
      <c r="H232" s="43"/>
    </row>
    <row r="233" spans="1:8" s="27" customFormat="1" ht="12.75" customHeight="1">
      <c r="A233" s="38">
        <v>102</v>
      </c>
      <c r="B233" s="83" t="s">
        <v>152</v>
      </c>
      <c r="C233" s="83" t="s">
        <v>99</v>
      </c>
      <c r="D233" s="85" t="s">
        <v>28</v>
      </c>
      <c r="E233" s="89"/>
      <c r="F233" s="86">
        <v>0.03</v>
      </c>
      <c r="G233" s="89"/>
      <c r="H233" s="87">
        <f>F233*G233</f>
        <v>0</v>
      </c>
    </row>
    <row r="234" spans="1:8" s="27" customFormat="1" ht="12.75" customHeight="1">
      <c r="A234" s="38"/>
      <c r="B234" s="90">
        <v>711</v>
      </c>
      <c r="C234" s="91" t="s">
        <v>69</v>
      </c>
      <c r="D234" s="61"/>
      <c r="E234" s="61"/>
      <c r="F234" s="92"/>
      <c r="G234" s="61"/>
      <c r="H234" s="93">
        <f>SUM(H235:H241)</f>
        <v>0</v>
      </c>
    </row>
    <row r="235" spans="1:8" s="3" customFormat="1" ht="24.95" customHeight="1">
      <c r="A235" s="38">
        <v>103</v>
      </c>
      <c r="B235" s="48" t="s">
        <v>153</v>
      </c>
      <c r="C235" s="46" t="s">
        <v>71</v>
      </c>
      <c r="D235" s="49" t="s">
        <v>24</v>
      </c>
      <c r="E235" s="43"/>
      <c r="F235" s="41">
        <v>61.67</v>
      </c>
      <c r="G235" s="43"/>
      <c r="H235" s="43">
        <f>F235*G235</f>
        <v>0</v>
      </c>
    </row>
    <row r="236" spans="1:8" s="3" customFormat="1" ht="12.75" customHeight="1">
      <c r="A236" s="38"/>
      <c r="B236" s="45"/>
      <c r="C236" s="46" t="s">
        <v>70</v>
      </c>
      <c r="D236" s="40"/>
      <c r="E236" s="43">
        <v>61.67</v>
      </c>
      <c r="F236" s="41"/>
      <c r="G236" s="43"/>
      <c r="H236" s="43"/>
    </row>
    <row r="237" spans="1:8" s="3" customFormat="1" ht="12.75" customHeight="1">
      <c r="A237" s="38">
        <v>104</v>
      </c>
      <c r="B237" s="51" t="s">
        <v>154</v>
      </c>
      <c r="C237" s="51" t="s">
        <v>73</v>
      </c>
      <c r="D237" s="51" t="s">
        <v>72</v>
      </c>
      <c r="E237" s="52"/>
      <c r="F237" s="52">
        <v>14</v>
      </c>
      <c r="G237" s="52"/>
      <c r="H237" s="52">
        <f>F237*G237</f>
        <v>0</v>
      </c>
    </row>
    <row r="238" spans="1:8" s="3" customFormat="1" ht="12.75" customHeight="1">
      <c r="A238" s="38"/>
      <c r="B238" s="45"/>
      <c r="C238" s="46" t="s">
        <v>314</v>
      </c>
      <c r="D238" s="40"/>
      <c r="E238" s="43">
        <f>61.67/4.5</f>
        <v>13.704444444444444</v>
      </c>
      <c r="F238" s="41"/>
      <c r="G238" s="43"/>
      <c r="H238" s="43"/>
    </row>
    <row r="239" spans="1:8" s="3" customFormat="1" ht="12.75" customHeight="1">
      <c r="A239" s="38">
        <v>105</v>
      </c>
      <c r="B239" s="51" t="s">
        <v>155</v>
      </c>
      <c r="C239" s="51" t="s">
        <v>74</v>
      </c>
      <c r="D239" s="51" t="s">
        <v>24</v>
      </c>
      <c r="E239" s="52"/>
      <c r="F239" s="52">
        <v>61.67</v>
      </c>
      <c r="G239" s="52"/>
      <c r="H239" s="52">
        <f>F239*G239</f>
        <v>0</v>
      </c>
    </row>
    <row r="240" spans="1:8" s="3" customFormat="1" ht="12.75" customHeight="1">
      <c r="A240" s="38">
        <v>106</v>
      </c>
      <c r="B240" s="48" t="s">
        <v>164</v>
      </c>
      <c r="C240" s="46" t="s">
        <v>75</v>
      </c>
      <c r="D240" s="49" t="s">
        <v>24</v>
      </c>
      <c r="E240" s="42"/>
      <c r="F240" s="41">
        <v>19.8</v>
      </c>
      <c r="G240" s="42"/>
      <c r="H240" s="43">
        <f>F240*G240</f>
        <v>0</v>
      </c>
    </row>
    <row r="241" spans="1:8" s="27" customFormat="1" ht="24.95" customHeight="1">
      <c r="A241" s="38">
        <v>107</v>
      </c>
      <c r="B241" s="84" t="s">
        <v>156</v>
      </c>
      <c r="C241" s="84" t="s">
        <v>157</v>
      </c>
      <c r="D241" s="85" t="s">
        <v>28</v>
      </c>
      <c r="E241" s="89"/>
      <c r="F241" s="89">
        <v>7.0000000000000001E-3</v>
      </c>
      <c r="G241" s="89"/>
      <c r="H241" s="87">
        <f>F241*G241</f>
        <v>0</v>
      </c>
    </row>
    <row r="242" spans="1:8" s="28" customFormat="1" ht="12.75" customHeight="1">
      <c r="A242" s="38"/>
      <c r="B242" s="90">
        <v>781</v>
      </c>
      <c r="C242" s="98" t="s">
        <v>92</v>
      </c>
      <c r="D242" s="61"/>
      <c r="E242" s="61"/>
      <c r="F242" s="92"/>
      <c r="G242" s="61"/>
      <c r="H242" s="93">
        <f>SUM(H243:H252)</f>
        <v>0</v>
      </c>
    </row>
    <row r="243" spans="1:8" s="3" customFormat="1" ht="12.75" customHeight="1">
      <c r="A243" s="38">
        <v>108</v>
      </c>
      <c r="B243" s="54" t="s">
        <v>319</v>
      </c>
      <c r="C243" s="54" t="s">
        <v>318</v>
      </c>
      <c r="D243" s="49" t="s">
        <v>24</v>
      </c>
      <c r="E243" s="43"/>
      <c r="F243" s="41">
        <v>19.71</v>
      </c>
      <c r="G243" s="43"/>
      <c r="H243" s="43">
        <f>F243*G243</f>
        <v>0</v>
      </c>
    </row>
    <row r="244" spans="1:8" s="3" customFormat="1" ht="12.75" customHeight="1">
      <c r="A244" s="38"/>
      <c r="B244" s="54" t="s">
        <v>95</v>
      </c>
      <c r="C244" s="63" t="s">
        <v>317</v>
      </c>
      <c r="D244" s="49"/>
      <c r="E244" s="63">
        <f>1.14*2+0.4+1.42+1.14+1.14+1.05+1.14*2+1.14+1.42+1.14+0.65+0.65+0.48*2</f>
        <v>15.670000000000002</v>
      </c>
      <c r="F244" s="41"/>
      <c r="G244" s="63"/>
      <c r="H244" s="43"/>
    </row>
    <row r="245" spans="1:8" s="3" customFormat="1" ht="12.75" customHeight="1">
      <c r="A245" s="38"/>
      <c r="B245" s="54" t="s">
        <v>315</v>
      </c>
      <c r="C245" s="63" t="s">
        <v>320</v>
      </c>
      <c r="D245" s="49"/>
      <c r="E245" s="63">
        <f>0.5*2*2+0.3*2</f>
        <v>2.6</v>
      </c>
      <c r="F245" s="41"/>
      <c r="G245" s="63"/>
      <c r="H245" s="43"/>
    </row>
    <row r="246" spans="1:8" s="3" customFormat="1" ht="12.75" customHeight="1">
      <c r="A246" s="38"/>
      <c r="B246" s="54" t="s">
        <v>316</v>
      </c>
      <c r="C246" s="63" t="s">
        <v>321</v>
      </c>
      <c r="D246" s="49"/>
      <c r="E246" s="63">
        <f>0.72*2</f>
        <v>1.44</v>
      </c>
      <c r="F246" s="41"/>
      <c r="G246" s="63"/>
      <c r="H246" s="43"/>
    </row>
    <row r="247" spans="1:8" s="3" customFormat="1" ht="12.75" customHeight="1">
      <c r="A247" s="38">
        <v>109</v>
      </c>
      <c r="B247" s="54" t="s">
        <v>322</v>
      </c>
      <c r="C247" s="54" t="s">
        <v>323</v>
      </c>
      <c r="D247" s="49" t="s">
        <v>21</v>
      </c>
      <c r="E247" s="63"/>
      <c r="F247" s="41">
        <v>2.98</v>
      </c>
      <c r="G247" s="63"/>
      <c r="H247" s="43">
        <f>F247*G247</f>
        <v>0</v>
      </c>
    </row>
    <row r="248" spans="1:8" s="3" customFormat="1" ht="24.95" customHeight="1">
      <c r="A248" s="38"/>
      <c r="B248" s="56" t="s">
        <v>324</v>
      </c>
      <c r="C248" s="63" t="s">
        <v>325</v>
      </c>
      <c r="D248" s="49"/>
      <c r="E248" s="63">
        <f>10.86-(19.71*0.4)</f>
        <v>2.9759999999999991</v>
      </c>
      <c r="F248" s="41"/>
      <c r="G248" s="63"/>
      <c r="H248" s="43"/>
    </row>
    <row r="249" spans="1:8" s="3" customFormat="1" ht="12" customHeight="1">
      <c r="A249" s="38">
        <v>110</v>
      </c>
      <c r="B249" s="51" t="s">
        <v>93</v>
      </c>
      <c r="C249" s="51" t="s">
        <v>96</v>
      </c>
      <c r="D249" s="51" t="s">
        <v>21</v>
      </c>
      <c r="E249" s="52"/>
      <c r="F249" s="52">
        <v>11.95</v>
      </c>
      <c r="G249" s="52"/>
      <c r="H249" s="52">
        <f>F249*G249</f>
        <v>0</v>
      </c>
    </row>
    <row r="250" spans="1:8" s="3" customFormat="1" ht="12.75" customHeight="1">
      <c r="A250" s="38"/>
      <c r="B250" s="50" t="s">
        <v>326</v>
      </c>
      <c r="C250" s="46" t="s">
        <v>327</v>
      </c>
      <c r="D250" s="40"/>
      <c r="E250" s="43">
        <f>10.86*1.1</f>
        <v>11.946</v>
      </c>
      <c r="F250" s="41"/>
      <c r="G250" s="43"/>
      <c r="H250" s="43"/>
    </row>
    <row r="251" spans="1:8" s="3" customFormat="1" ht="12.75" customHeight="1">
      <c r="A251" s="38">
        <v>111</v>
      </c>
      <c r="B251" s="48" t="s">
        <v>158</v>
      </c>
      <c r="C251" s="48" t="s">
        <v>159</v>
      </c>
      <c r="D251" s="49" t="s">
        <v>24</v>
      </c>
      <c r="E251" s="42"/>
      <c r="F251" s="41">
        <v>19.71</v>
      </c>
      <c r="G251" s="42"/>
      <c r="H251" s="43">
        <f>F251*G251</f>
        <v>0</v>
      </c>
    </row>
    <row r="252" spans="1:8" s="27" customFormat="1" ht="12.75" customHeight="1">
      <c r="A252" s="38">
        <v>112</v>
      </c>
      <c r="B252" s="83" t="s">
        <v>160</v>
      </c>
      <c r="C252" s="84" t="s">
        <v>161</v>
      </c>
      <c r="D252" s="85" t="s">
        <v>28</v>
      </c>
      <c r="E252" s="87"/>
      <c r="F252" s="86">
        <v>6.5000000000000002E-2</v>
      </c>
      <c r="G252" s="87"/>
      <c r="H252" s="87">
        <f>F252*G252</f>
        <v>0</v>
      </c>
    </row>
    <row r="253" spans="1:8" s="28" customFormat="1" ht="12.75" customHeight="1">
      <c r="A253" s="38"/>
      <c r="B253" s="90">
        <v>783</v>
      </c>
      <c r="C253" s="98" t="s">
        <v>120</v>
      </c>
      <c r="D253" s="61"/>
      <c r="E253" s="61"/>
      <c r="F253" s="92"/>
      <c r="G253" s="61"/>
      <c r="H253" s="93">
        <f>SUM(H254:H262)</f>
        <v>0</v>
      </c>
    </row>
    <row r="254" spans="1:8" s="3" customFormat="1" ht="12" customHeight="1">
      <c r="A254" s="38">
        <v>113</v>
      </c>
      <c r="B254" s="48" t="s">
        <v>162</v>
      </c>
      <c r="C254" s="48" t="s">
        <v>163</v>
      </c>
      <c r="D254" s="49" t="s">
        <v>21</v>
      </c>
      <c r="E254" s="42"/>
      <c r="F254" s="59">
        <v>15.72</v>
      </c>
      <c r="G254" s="42"/>
      <c r="H254" s="43">
        <f>F254*G254</f>
        <v>0</v>
      </c>
    </row>
    <row r="255" spans="1:8" s="3" customFormat="1" ht="12.75" customHeight="1">
      <c r="A255" s="38"/>
      <c r="B255" s="54" t="s">
        <v>349</v>
      </c>
      <c r="C255" s="63" t="s">
        <v>415</v>
      </c>
      <c r="D255" s="49"/>
      <c r="E255" s="63">
        <f>0.2+0.25</f>
        <v>0.45</v>
      </c>
      <c r="F255" s="60"/>
      <c r="G255" s="63"/>
      <c r="H255" s="43"/>
    </row>
    <row r="256" spans="1:8" s="3" customFormat="1" ht="12.75" customHeight="1">
      <c r="A256" s="38"/>
      <c r="B256" s="54" t="s">
        <v>351</v>
      </c>
      <c r="C256" s="63" t="s">
        <v>416</v>
      </c>
      <c r="D256" s="49"/>
      <c r="E256" s="63">
        <f>(1.4*2)*0.4</f>
        <v>1.1199999999999999</v>
      </c>
      <c r="F256" s="60"/>
      <c r="G256" s="63"/>
      <c r="H256" s="43"/>
    </row>
    <row r="257" spans="1:8" s="3" customFormat="1" ht="12.75" customHeight="1">
      <c r="A257" s="38"/>
      <c r="B257" s="54" t="s">
        <v>360</v>
      </c>
      <c r="C257" s="63" t="s">
        <v>417</v>
      </c>
      <c r="D257" s="49"/>
      <c r="E257" s="63">
        <f>2.43+2.43+2.43</f>
        <v>7.2900000000000009</v>
      </c>
      <c r="F257" s="60"/>
      <c r="G257" s="63"/>
      <c r="H257" s="43"/>
    </row>
    <row r="258" spans="1:8" s="3" customFormat="1" ht="12.75" customHeight="1">
      <c r="A258" s="38"/>
      <c r="B258" s="54" t="s">
        <v>418</v>
      </c>
      <c r="C258" s="63" t="s">
        <v>419</v>
      </c>
      <c r="D258" s="49"/>
      <c r="E258" s="63">
        <f>(0.6*2)*0.2*3</f>
        <v>0.72</v>
      </c>
      <c r="F258" s="60"/>
      <c r="G258" s="63"/>
      <c r="H258" s="43"/>
    </row>
    <row r="259" spans="1:8" s="3" customFormat="1" ht="12.75" customHeight="1">
      <c r="A259" s="38"/>
      <c r="B259" s="54" t="s">
        <v>372</v>
      </c>
      <c r="C259" s="64">
        <v>1.5</v>
      </c>
      <c r="D259" s="49"/>
      <c r="E259" s="63">
        <v>1.5</v>
      </c>
      <c r="F259" s="60"/>
      <c r="G259" s="63"/>
      <c r="H259" s="43"/>
    </row>
    <row r="260" spans="1:8" s="3" customFormat="1" ht="12.75" customHeight="1">
      <c r="A260" s="38"/>
      <c r="B260" s="54" t="s">
        <v>407</v>
      </c>
      <c r="C260" s="63" t="s">
        <v>420</v>
      </c>
      <c r="D260" s="49"/>
      <c r="E260" s="63">
        <f>0.6*2*0.4</f>
        <v>0.48</v>
      </c>
      <c r="F260" s="60"/>
      <c r="G260" s="63"/>
      <c r="H260" s="43"/>
    </row>
    <row r="261" spans="1:8" s="3" customFormat="1" ht="12.75" customHeight="1">
      <c r="A261" s="38"/>
      <c r="B261" s="54" t="s">
        <v>380</v>
      </c>
      <c r="C261" s="63" t="s">
        <v>421</v>
      </c>
      <c r="D261" s="49"/>
      <c r="E261" s="63">
        <f>1.6+1.6</f>
        <v>3.2</v>
      </c>
      <c r="F261" s="60"/>
      <c r="G261" s="63"/>
      <c r="H261" s="43"/>
    </row>
    <row r="262" spans="1:8" s="3" customFormat="1" ht="12.75" customHeight="1">
      <c r="A262" s="38"/>
      <c r="B262" s="54" t="s">
        <v>382</v>
      </c>
      <c r="C262" s="63" t="s">
        <v>422</v>
      </c>
      <c r="D262" s="49"/>
      <c r="E262" s="63">
        <f>0.6*2*0.4*2</f>
        <v>0.96</v>
      </c>
      <c r="F262" s="60"/>
      <c r="G262" s="63"/>
      <c r="H262" s="43"/>
    </row>
    <row r="263" spans="1:8" s="28" customFormat="1" ht="12.75" customHeight="1">
      <c r="A263" s="38"/>
      <c r="B263" s="90">
        <v>784</v>
      </c>
      <c r="C263" s="98" t="s">
        <v>114</v>
      </c>
      <c r="D263" s="61"/>
      <c r="E263" s="61"/>
      <c r="F263" s="92"/>
      <c r="G263" s="61"/>
      <c r="H263" s="93">
        <f>SUM(H264:H318)</f>
        <v>0</v>
      </c>
    </row>
    <row r="264" spans="1:8" s="11" customFormat="1" ht="12.75" customHeight="1">
      <c r="A264" s="38">
        <v>114</v>
      </c>
      <c r="B264" s="54" t="s">
        <v>409</v>
      </c>
      <c r="C264" s="46" t="s">
        <v>410</v>
      </c>
      <c r="D264" s="49" t="s">
        <v>21</v>
      </c>
      <c r="E264" s="43"/>
      <c r="F264" s="59">
        <v>327.7</v>
      </c>
      <c r="G264" s="43"/>
      <c r="H264" s="43">
        <f>F264*G264</f>
        <v>0</v>
      </c>
    </row>
    <row r="265" spans="1:8" s="11" customFormat="1" ht="12.75" customHeight="1">
      <c r="A265" s="38"/>
      <c r="B265" s="54"/>
      <c r="C265" s="46" t="s">
        <v>411</v>
      </c>
      <c r="D265" s="49"/>
      <c r="E265" s="82">
        <f>223.31+104.39</f>
        <v>327.7</v>
      </c>
      <c r="F265" s="59"/>
      <c r="G265" s="82"/>
      <c r="H265" s="43"/>
    </row>
    <row r="266" spans="1:8" s="3" customFormat="1" ht="24.95" customHeight="1">
      <c r="A266" s="38">
        <v>115</v>
      </c>
      <c r="B266" s="50" t="s">
        <v>115</v>
      </c>
      <c r="C266" s="46" t="s">
        <v>116</v>
      </c>
      <c r="D266" s="49" t="s">
        <v>21</v>
      </c>
      <c r="E266" s="43"/>
      <c r="F266" s="59">
        <v>223.31</v>
      </c>
      <c r="G266" s="43"/>
      <c r="H266" s="43">
        <f>F266*G266</f>
        <v>0</v>
      </c>
    </row>
    <row r="267" spans="1:8" s="3" customFormat="1" ht="12.75" customHeight="1">
      <c r="A267" s="38"/>
      <c r="B267" s="54" t="s">
        <v>349</v>
      </c>
      <c r="C267" s="63" t="s">
        <v>350</v>
      </c>
      <c r="D267" s="49"/>
      <c r="E267" s="63">
        <f>8+5+2.8+6.2+4.9+7.3+1.5+7.1+9+5.4+4.9</f>
        <v>62.099999999999994</v>
      </c>
      <c r="F267" s="60"/>
      <c r="G267" s="63"/>
      <c r="H267" s="43"/>
    </row>
    <row r="268" spans="1:8" s="3" customFormat="1" ht="12.75" customHeight="1">
      <c r="A268" s="38"/>
      <c r="B268" s="54" t="s">
        <v>351</v>
      </c>
      <c r="C268" s="63" t="s">
        <v>352</v>
      </c>
      <c r="D268" s="49"/>
      <c r="E268" s="63">
        <f>(1.25*2+1.15)*0.4*3</f>
        <v>4.38</v>
      </c>
      <c r="F268" s="60"/>
      <c r="G268" s="63"/>
      <c r="H268" s="43"/>
    </row>
    <row r="269" spans="1:8" s="3" customFormat="1" ht="12.75" customHeight="1">
      <c r="A269" s="38"/>
      <c r="B269" s="54"/>
      <c r="C269" s="63" t="s">
        <v>353</v>
      </c>
      <c r="D269" s="49"/>
      <c r="E269" s="63">
        <f>(1.25*2+1.15)*0.4*2</f>
        <v>2.92</v>
      </c>
      <c r="F269" s="60"/>
      <c r="G269" s="63"/>
      <c r="H269" s="43"/>
    </row>
    <row r="270" spans="1:8" s="3" customFormat="1" ht="12.75" customHeight="1">
      <c r="A270" s="38"/>
      <c r="B270" s="54"/>
      <c r="C270" s="63" t="s">
        <v>353</v>
      </c>
      <c r="D270" s="49"/>
      <c r="E270" s="63">
        <f>(1.25*2+1.15)*0.4*2</f>
        <v>2.92</v>
      </c>
      <c r="F270" s="60"/>
      <c r="G270" s="63"/>
      <c r="H270" s="43"/>
    </row>
    <row r="271" spans="1:8" s="3" customFormat="1" ht="12.75" customHeight="1">
      <c r="A271" s="38"/>
      <c r="B271" s="54"/>
      <c r="C271" s="63" t="s">
        <v>354</v>
      </c>
      <c r="D271" s="49"/>
      <c r="E271" s="63">
        <f>(1.25+1.15)*0.4</f>
        <v>0.96</v>
      </c>
      <c r="F271" s="60"/>
      <c r="G271" s="63"/>
      <c r="H271" s="43"/>
    </row>
    <row r="272" spans="1:8" s="3" customFormat="1" ht="12.75" customHeight="1">
      <c r="A272" s="38"/>
      <c r="B272" s="54"/>
      <c r="C272" s="63" t="s">
        <v>355</v>
      </c>
      <c r="D272" s="49"/>
      <c r="E272" s="63">
        <f>(1.25*2+1.25)*0.4</f>
        <v>1.5</v>
      </c>
      <c r="F272" s="60"/>
      <c r="G272" s="63"/>
      <c r="H272" s="43"/>
    </row>
    <row r="273" spans="1:8" s="3" customFormat="1" ht="12.75" customHeight="1">
      <c r="A273" s="38"/>
      <c r="B273" s="54"/>
      <c r="C273" s="63" t="s">
        <v>353</v>
      </c>
      <c r="D273" s="49"/>
      <c r="E273" s="63">
        <f>(1.25*2+1.15)*0.4*2</f>
        <v>2.92</v>
      </c>
      <c r="F273" s="60"/>
      <c r="G273" s="63"/>
      <c r="H273" s="43"/>
    </row>
    <row r="274" spans="1:8" s="3" customFormat="1" ht="12.75" customHeight="1">
      <c r="A274" s="38"/>
      <c r="B274" s="54"/>
      <c r="C274" s="63" t="s">
        <v>356</v>
      </c>
      <c r="D274" s="49"/>
      <c r="E274" s="63">
        <f>(0.9*2+1.3)*0.4</f>
        <v>1.2400000000000002</v>
      </c>
      <c r="F274" s="60"/>
      <c r="G274" s="63"/>
      <c r="H274" s="43"/>
    </row>
    <row r="275" spans="1:8" s="3" customFormat="1" ht="12.75" customHeight="1">
      <c r="A275" s="38"/>
      <c r="B275" s="54"/>
      <c r="C275" s="63" t="s">
        <v>353</v>
      </c>
      <c r="D275" s="49"/>
      <c r="E275" s="63">
        <f>(1.25*2+1.15)*0.4*2</f>
        <v>2.92</v>
      </c>
      <c r="F275" s="60"/>
      <c r="G275" s="63"/>
      <c r="H275" s="43"/>
    </row>
    <row r="276" spans="1:8" s="3" customFormat="1" ht="12.75" customHeight="1">
      <c r="A276" s="38"/>
      <c r="B276" s="54"/>
      <c r="C276" s="63" t="s">
        <v>357</v>
      </c>
      <c r="D276" s="49"/>
      <c r="E276" s="63">
        <f>(0.55*2+1.15)*0.4</f>
        <v>0.9</v>
      </c>
      <c r="F276" s="60"/>
      <c r="G276" s="63"/>
      <c r="H276" s="43"/>
    </row>
    <row r="277" spans="1:8" s="3" customFormat="1" ht="12.75" customHeight="1">
      <c r="A277" s="38"/>
      <c r="B277" s="54"/>
      <c r="C277" s="63" t="s">
        <v>358</v>
      </c>
      <c r="D277" s="49"/>
      <c r="E277" s="63">
        <f>(0.7*2+1.15)*0.4</f>
        <v>1.02</v>
      </c>
      <c r="F277" s="60"/>
      <c r="G277" s="63"/>
      <c r="H277" s="43"/>
    </row>
    <row r="278" spans="1:8" s="3" customFormat="1" ht="12.75" customHeight="1">
      <c r="A278" s="38"/>
      <c r="B278" s="54"/>
      <c r="C278" s="63" t="s">
        <v>359</v>
      </c>
      <c r="D278" s="49"/>
      <c r="E278" s="63">
        <f>(0.75*2+1.15)*0.4*2</f>
        <v>2.12</v>
      </c>
      <c r="F278" s="60"/>
      <c r="G278" s="63"/>
      <c r="H278" s="43"/>
    </row>
    <row r="279" spans="1:8" s="3" customFormat="1" ht="12.75" customHeight="1">
      <c r="A279" s="38"/>
      <c r="B279" s="54" t="s">
        <v>402</v>
      </c>
      <c r="C279" s="63" t="s">
        <v>361</v>
      </c>
      <c r="D279" s="49"/>
      <c r="E279" s="63">
        <f>5.3+3.5+1.6+4.2+2.8+1.1+1.5+3.4+7+1.7+1.8+1.8+3.9+3.7+2.2+4.3+6.6</f>
        <v>56.4</v>
      </c>
      <c r="F279" s="60"/>
      <c r="G279" s="63"/>
      <c r="H279" s="43"/>
    </row>
    <row r="280" spans="1:8" s="3" customFormat="1" ht="12.75" customHeight="1">
      <c r="A280" s="38"/>
      <c r="B280" s="54" t="s">
        <v>362</v>
      </c>
      <c r="C280" s="63" t="s">
        <v>363</v>
      </c>
      <c r="D280" s="49"/>
      <c r="E280" s="63">
        <f>(1.25*2+1.3)*0.4*6</f>
        <v>9.120000000000001</v>
      </c>
      <c r="F280" s="60"/>
      <c r="G280" s="63"/>
      <c r="H280" s="43"/>
    </row>
    <row r="281" spans="1:8" s="3" customFormat="1" ht="12.75" customHeight="1">
      <c r="A281" s="38"/>
      <c r="B281" s="54"/>
      <c r="C281" s="63" t="s">
        <v>364</v>
      </c>
      <c r="D281" s="49"/>
      <c r="E281" s="63">
        <f>(0.8*2+1.25)*0.4*2</f>
        <v>2.2800000000000002</v>
      </c>
      <c r="F281" s="60"/>
      <c r="G281" s="63"/>
      <c r="H281" s="43"/>
    </row>
    <row r="282" spans="1:8" s="3" customFormat="1" ht="12.75" customHeight="1">
      <c r="A282" s="38"/>
      <c r="B282" s="54"/>
      <c r="C282" s="63" t="s">
        <v>365</v>
      </c>
      <c r="D282" s="49"/>
      <c r="E282" s="63">
        <f>(0.74*2+0.5)*0.4*1</f>
        <v>0.79200000000000004</v>
      </c>
      <c r="F282" s="60"/>
      <c r="G282" s="63"/>
      <c r="H282" s="43"/>
    </row>
    <row r="283" spans="1:8" s="3" customFormat="1" ht="12.75" customHeight="1">
      <c r="A283" s="38"/>
      <c r="B283" s="54"/>
      <c r="C283" s="63" t="s">
        <v>366</v>
      </c>
      <c r="D283" s="49"/>
      <c r="E283" s="63">
        <f>(1.2*2+1.52)*0.4</f>
        <v>1.5680000000000001</v>
      </c>
      <c r="F283" s="60"/>
      <c r="G283" s="63"/>
      <c r="H283" s="43"/>
    </row>
    <row r="284" spans="1:8" s="3" customFormat="1" ht="12.75" customHeight="1">
      <c r="A284" s="38"/>
      <c r="B284" s="54"/>
      <c r="C284" s="63" t="s">
        <v>367</v>
      </c>
      <c r="D284" s="49"/>
      <c r="E284" s="63">
        <f>(1.2*2+1.25)*0.4</f>
        <v>1.46</v>
      </c>
      <c r="F284" s="60"/>
      <c r="G284" s="63"/>
      <c r="H284" s="43"/>
    </row>
    <row r="285" spans="1:8" s="3" customFormat="1" ht="12.75" customHeight="1">
      <c r="A285" s="38"/>
      <c r="B285" s="54"/>
      <c r="C285" s="63" t="s">
        <v>368</v>
      </c>
      <c r="D285" s="49"/>
      <c r="E285" s="63">
        <f>(1.17*2+2.1)*0.2*4</f>
        <v>3.5519999999999996</v>
      </c>
      <c r="F285" s="60"/>
      <c r="G285" s="63"/>
      <c r="H285" s="43"/>
    </row>
    <row r="286" spans="1:8" s="3" customFormat="1" ht="12.75" customHeight="1">
      <c r="A286" s="38"/>
      <c r="B286" s="54"/>
      <c r="C286" s="63" t="s">
        <v>369</v>
      </c>
      <c r="D286" s="49"/>
      <c r="E286" s="63">
        <f>(0.9*2+1.52)*0.4</f>
        <v>1.3280000000000003</v>
      </c>
      <c r="F286" s="60"/>
      <c r="G286" s="63"/>
      <c r="H286" s="43"/>
    </row>
    <row r="287" spans="1:8" s="3" customFormat="1" ht="12.75" customHeight="1">
      <c r="A287" s="38"/>
      <c r="B287" s="54"/>
      <c r="C287" s="63" t="s">
        <v>370</v>
      </c>
      <c r="D287" s="49"/>
      <c r="E287" s="63">
        <f>(0.95*2+0.75)*0.4*2</f>
        <v>2.12</v>
      </c>
      <c r="F287" s="60"/>
      <c r="G287" s="63"/>
      <c r="H287" s="43"/>
    </row>
    <row r="288" spans="1:8" s="3" customFormat="1" ht="12.75" customHeight="1">
      <c r="A288" s="38"/>
      <c r="B288" s="54"/>
      <c r="C288" s="63" t="s">
        <v>371</v>
      </c>
      <c r="D288" s="49"/>
      <c r="E288" s="63">
        <f>(1.3*2+1.25)*0.4</f>
        <v>1.54</v>
      </c>
      <c r="F288" s="60"/>
      <c r="G288" s="63"/>
      <c r="H288" s="43"/>
    </row>
    <row r="289" spans="1:8" s="3" customFormat="1" ht="12.75" customHeight="1">
      <c r="A289" s="38"/>
      <c r="B289" s="54" t="s">
        <v>372</v>
      </c>
      <c r="C289" s="63" t="s">
        <v>373</v>
      </c>
      <c r="D289" s="49"/>
      <c r="E289" s="63">
        <f>1.3+1.3+1.2+5+3.5+0.8+2.6+4</f>
        <v>19.700000000000003</v>
      </c>
      <c r="F289" s="60"/>
      <c r="G289" s="63"/>
      <c r="H289" s="43"/>
    </row>
    <row r="290" spans="1:8" s="3" customFormat="1" ht="12.75" customHeight="1">
      <c r="A290" s="38"/>
      <c r="B290" s="54" t="s">
        <v>374</v>
      </c>
      <c r="C290" s="63" t="s">
        <v>352</v>
      </c>
      <c r="D290" s="49"/>
      <c r="E290" s="63">
        <f>(1.25*2+1.15)*0.4*3</f>
        <v>4.38</v>
      </c>
      <c r="F290" s="60"/>
      <c r="G290" s="63"/>
      <c r="H290" s="43"/>
    </row>
    <row r="291" spans="1:8" s="3" customFormat="1" ht="12.75" customHeight="1">
      <c r="A291" s="38"/>
      <c r="B291" s="54"/>
      <c r="C291" s="63" t="s">
        <v>375</v>
      </c>
      <c r="D291" s="49"/>
      <c r="E291" s="63">
        <f>(1.25*2+1.52)*0.4</f>
        <v>1.6079999999999999</v>
      </c>
      <c r="F291" s="60"/>
      <c r="G291" s="63"/>
      <c r="H291" s="43"/>
    </row>
    <row r="292" spans="1:8" s="3" customFormat="1" ht="12.75" customHeight="1">
      <c r="A292" s="38"/>
      <c r="B292" s="54"/>
      <c r="C292" s="63" t="s">
        <v>376</v>
      </c>
      <c r="D292" s="49"/>
      <c r="E292" s="63">
        <f>(0.6*2+1.04)*0.4</f>
        <v>0.89600000000000013</v>
      </c>
      <c r="F292" s="60"/>
      <c r="G292" s="63"/>
      <c r="H292" s="43"/>
    </row>
    <row r="293" spans="1:8" s="3" customFormat="1" ht="12.75" customHeight="1">
      <c r="A293" s="38"/>
      <c r="B293" s="54"/>
      <c r="C293" s="63" t="s">
        <v>377</v>
      </c>
      <c r="D293" s="49"/>
      <c r="E293" s="63">
        <f>(0.84*2+1.04)*0.4</f>
        <v>1.0879999999999999</v>
      </c>
      <c r="F293" s="60"/>
      <c r="G293" s="63"/>
      <c r="H293" s="43"/>
    </row>
    <row r="294" spans="1:8" s="3" customFormat="1" ht="12.75" customHeight="1">
      <c r="A294" s="38"/>
      <c r="B294" s="54"/>
      <c r="C294" s="63" t="s">
        <v>378</v>
      </c>
      <c r="D294" s="49"/>
      <c r="E294" s="63">
        <f>(1.21*2+1.42)*0.4</f>
        <v>1.536</v>
      </c>
      <c r="F294" s="60"/>
      <c r="G294" s="63"/>
      <c r="H294" s="43"/>
    </row>
    <row r="295" spans="1:8" s="3" customFormat="1" ht="12.75" customHeight="1">
      <c r="A295" s="38"/>
      <c r="B295" s="54"/>
      <c r="C295" s="63" t="s">
        <v>379</v>
      </c>
      <c r="D295" s="49"/>
      <c r="E295" s="63">
        <f>(0.6*2)*0.4</f>
        <v>0.48</v>
      </c>
      <c r="F295" s="60"/>
      <c r="G295" s="63"/>
      <c r="H295" s="43"/>
    </row>
    <row r="296" spans="1:8" s="3" customFormat="1" ht="12.75" customHeight="1">
      <c r="A296" s="38"/>
      <c r="B296" s="54" t="s">
        <v>380</v>
      </c>
      <c r="C296" s="63" t="s">
        <v>381</v>
      </c>
      <c r="D296" s="49"/>
      <c r="E296" s="63">
        <f>1.1+1.2+1.1+1.2+1.2+3.5</f>
        <v>9.3000000000000007</v>
      </c>
      <c r="F296" s="60"/>
      <c r="G296" s="63"/>
      <c r="H296" s="43"/>
    </row>
    <row r="297" spans="1:8" s="3" customFormat="1" ht="12.75" customHeight="1">
      <c r="A297" s="38"/>
      <c r="B297" s="54" t="s">
        <v>382</v>
      </c>
      <c r="C297" s="63" t="s">
        <v>383</v>
      </c>
      <c r="D297" s="49"/>
      <c r="E297" s="63">
        <f>(1*2+0.5)*0.4*2</f>
        <v>2</v>
      </c>
      <c r="F297" s="60"/>
      <c r="G297" s="63"/>
      <c r="H297" s="43"/>
    </row>
    <row r="298" spans="1:8" s="3" customFormat="1" ht="12.75" customHeight="1">
      <c r="A298" s="38"/>
      <c r="B298" s="54"/>
      <c r="C298" s="63" t="s">
        <v>353</v>
      </c>
      <c r="D298" s="49"/>
      <c r="E298" s="63">
        <f>(1.25*2+1.15)*0.4*2</f>
        <v>2.92</v>
      </c>
      <c r="F298" s="60"/>
      <c r="G298" s="63"/>
      <c r="H298" s="43"/>
    </row>
    <row r="299" spans="1:8" s="3" customFormat="1" ht="12.75" customHeight="1">
      <c r="A299" s="38"/>
      <c r="B299" s="54"/>
      <c r="C299" s="63" t="s">
        <v>384</v>
      </c>
      <c r="D299" s="49"/>
      <c r="E299" s="63">
        <f>(1.13*2+1.15)*0.4</f>
        <v>1.3639999999999999</v>
      </c>
      <c r="F299" s="60"/>
      <c r="G299" s="63"/>
      <c r="H299" s="43"/>
    </row>
    <row r="300" spans="1:8" s="3" customFormat="1" ht="12.75" customHeight="1">
      <c r="A300" s="38"/>
      <c r="B300" s="54"/>
      <c r="C300" s="63" t="s">
        <v>358</v>
      </c>
      <c r="D300" s="49"/>
      <c r="E300" s="63">
        <f>(0.7*2+1.15)*0.4</f>
        <v>1.02</v>
      </c>
      <c r="F300" s="60"/>
      <c r="G300" s="63"/>
      <c r="H300" s="43"/>
    </row>
    <row r="301" spans="1:8" s="3" customFormat="1" ht="24.95" customHeight="1">
      <c r="A301" s="38"/>
      <c r="B301" s="56" t="s">
        <v>385</v>
      </c>
      <c r="C301" s="63" t="s">
        <v>386</v>
      </c>
      <c r="D301" s="49"/>
      <c r="E301" s="63">
        <f>(1.15+1.25)*2*0.4*3</f>
        <v>5.76</v>
      </c>
      <c r="F301" s="60"/>
      <c r="G301" s="63"/>
      <c r="H301" s="43"/>
    </row>
    <row r="302" spans="1:8" s="3" customFormat="1" ht="12.75" customHeight="1">
      <c r="A302" s="38"/>
      <c r="B302" s="54"/>
      <c r="C302" s="63" t="s">
        <v>387</v>
      </c>
      <c r="D302" s="49"/>
      <c r="E302" s="63">
        <f>(2.5+1.5)*0.4</f>
        <v>1.6</v>
      </c>
      <c r="F302" s="60"/>
      <c r="G302" s="63"/>
      <c r="H302" s="43"/>
    </row>
    <row r="303" spans="1:8" s="3" customFormat="1" ht="12.75" customHeight="1">
      <c r="A303" s="38"/>
      <c r="B303" s="54"/>
      <c r="C303" s="63" t="s">
        <v>388</v>
      </c>
      <c r="D303" s="49"/>
      <c r="E303" s="63">
        <f>(0.2*4+1.15*2)*0.4</f>
        <v>1.24</v>
      </c>
      <c r="F303" s="60"/>
      <c r="G303" s="63"/>
      <c r="H303" s="43"/>
    </row>
    <row r="304" spans="1:8" s="3" customFormat="1" ht="12.75" customHeight="1">
      <c r="A304" s="38"/>
      <c r="B304" s="54"/>
      <c r="C304" s="63" t="s">
        <v>389</v>
      </c>
      <c r="D304" s="49"/>
      <c r="E304" s="63">
        <f>2.7*0.4</f>
        <v>1.08</v>
      </c>
      <c r="F304" s="60"/>
      <c r="G304" s="63"/>
      <c r="H304" s="43"/>
    </row>
    <row r="305" spans="1:8" s="3" customFormat="1" ht="12.75" customHeight="1">
      <c r="A305" s="38"/>
      <c r="B305" s="54"/>
      <c r="C305" s="63" t="s">
        <v>390</v>
      </c>
      <c r="D305" s="49"/>
      <c r="E305" s="63">
        <f>1.6*2*0.4</f>
        <v>1.2800000000000002</v>
      </c>
      <c r="F305" s="60"/>
      <c r="G305" s="63"/>
      <c r="H305" s="43"/>
    </row>
    <row r="306" spans="1:8" s="3" customFormat="1" ht="12.75" customHeight="1">
      <c r="A306" s="38">
        <v>116</v>
      </c>
      <c r="B306" s="54" t="s">
        <v>392</v>
      </c>
      <c r="C306" s="54" t="s">
        <v>393</v>
      </c>
      <c r="D306" s="49" t="s">
        <v>21</v>
      </c>
      <c r="E306" s="63"/>
      <c r="F306" s="59">
        <v>104.39</v>
      </c>
      <c r="G306" s="63"/>
      <c r="H306" s="43">
        <f>F306*G306</f>
        <v>0</v>
      </c>
    </row>
    <row r="307" spans="1:8" s="3" customFormat="1" ht="12.75" customHeight="1">
      <c r="A307" s="38"/>
      <c r="B307" s="54"/>
      <c r="C307" s="63" t="s">
        <v>394</v>
      </c>
      <c r="D307" s="49"/>
      <c r="E307" s="63"/>
      <c r="F307" s="59"/>
      <c r="G307" s="63"/>
      <c r="H307" s="43"/>
    </row>
    <row r="308" spans="1:8" s="3" customFormat="1" ht="12.75" customHeight="1">
      <c r="A308" s="38"/>
      <c r="B308" s="54" t="s">
        <v>349</v>
      </c>
      <c r="C308" s="63" t="s">
        <v>395</v>
      </c>
      <c r="D308" s="49"/>
      <c r="E308" s="63">
        <f>10+6.5+3.3+1.6+4+0.35+5+7.3+7.2+6.5</f>
        <v>51.750000000000007</v>
      </c>
      <c r="F308" s="60"/>
      <c r="G308" s="63"/>
      <c r="H308" s="43"/>
    </row>
    <row r="309" spans="1:8" s="3" customFormat="1" ht="24.95" customHeight="1">
      <c r="A309" s="38"/>
      <c r="B309" s="56" t="s">
        <v>396</v>
      </c>
      <c r="C309" s="63" t="s">
        <v>397</v>
      </c>
      <c r="D309" s="49"/>
      <c r="E309" s="63">
        <f>0.9*0.2*2*6</f>
        <v>2.16</v>
      </c>
      <c r="F309" s="60"/>
      <c r="G309" s="63"/>
      <c r="H309" s="43"/>
    </row>
    <row r="310" spans="1:8" s="3" customFormat="1" ht="12.75" customHeight="1">
      <c r="A310" s="38"/>
      <c r="B310" s="54" t="s">
        <v>351</v>
      </c>
      <c r="C310" s="63" t="s">
        <v>400</v>
      </c>
      <c r="D310" s="49"/>
      <c r="E310" s="63">
        <f>(0.6*2*0.4)*12</f>
        <v>5.76</v>
      </c>
      <c r="F310" s="60"/>
      <c r="G310" s="63"/>
      <c r="H310" s="43"/>
    </row>
    <row r="311" spans="1:8" s="3" customFormat="1" ht="12.75" customHeight="1">
      <c r="A311" s="38"/>
      <c r="B311" s="54"/>
      <c r="C311" s="63" t="s">
        <v>399</v>
      </c>
      <c r="D311" s="49"/>
      <c r="E311" s="63">
        <f>(1.4*2*0.4)*2</f>
        <v>2.2399999999999998</v>
      </c>
      <c r="F311" s="60"/>
      <c r="G311" s="63"/>
      <c r="H311" s="43"/>
    </row>
    <row r="312" spans="1:8" s="3" customFormat="1" ht="12.75" customHeight="1">
      <c r="A312" s="38"/>
      <c r="B312" s="54" t="s">
        <v>360</v>
      </c>
      <c r="C312" s="63" t="s">
        <v>401</v>
      </c>
      <c r="D312" s="49"/>
      <c r="E312" s="63">
        <f>5.6+3.5+5.6+3.5+3.6+7.1</f>
        <v>28.9</v>
      </c>
      <c r="F312" s="60"/>
      <c r="G312" s="63"/>
      <c r="H312" s="43"/>
    </row>
    <row r="313" spans="1:8" s="3" customFormat="1" ht="12.75" customHeight="1">
      <c r="A313" s="38"/>
      <c r="B313" s="54" t="s">
        <v>362</v>
      </c>
      <c r="C313" s="63" t="s">
        <v>398</v>
      </c>
      <c r="D313" s="49"/>
      <c r="E313" s="63">
        <f>(0.6*2*0.4)*6</f>
        <v>2.88</v>
      </c>
      <c r="F313" s="60"/>
      <c r="G313" s="63"/>
      <c r="H313" s="43"/>
    </row>
    <row r="314" spans="1:8" s="3" customFormat="1" ht="12.75" customHeight="1">
      <c r="A314" s="38"/>
      <c r="B314" s="54"/>
      <c r="C314" s="63" t="s">
        <v>403</v>
      </c>
      <c r="D314" s="49"/>
      <c r="E314" s="63">
        <f>(0.7*0.4)*1</f>
        <v>0.27999999999999997</v>
      </c>
      <c r="F314" s="60"/>
      <c r="G314" s="63"/>
      <c r="H314" s="43"/>
    </row>
    <row r="315" spans="1:8" s="3" customFormat="1" ht="12.75" customHeight="1">
      <c r="A315" s="38"/>
      <c r="B315" s="54"/>
      <c r="C315" s="63" t="s">
        <v>404</v>
      </c>
      <c r="D315" s="49"/>
      <c r="E315" s="63">
        <f>0.65*2*0.4</f>
        <v>0.52</v>
      </c>
      <c r="F315" s="60"/>
      <c r="G315" s="63"/>
      <c r="H315" s="43"/>
    </row>
    <row r="316" spans="1:8" s="3" customFormat="1" ht="12.75" customHeight="1">
      <c r="A316" s="38"/>
      <c r="B316" s="54" t="s">
        <v>372</v>
      </c>
      <c r="C316" s="63" t="s">
        <v>405</v>
      </c>
      <c r="D316" s="49"/>
      <c r="E316" s="63">
        <f>1.5+1.5+5.1</f>
        <v>8.1</v>
      </c>
      <c r="F316" s="60"/>
      <c r="G316" s="63"/>
      <c r="H316" s="43"/>
    </row>
    <row r="317" spans="1:8" s="3" customFormat="1" ht="12.75" customHeight="1">
      <c r="A317" s="38"/>
      <c r="B317" s="54" t="s">
        <v>406</v>
      </c>
      <c r="C317" s="63" t="s">
        <v>122</v>
      </c>
      <c r="D317" s="49"/>
      <c r="E317" s="63">
        <f>0.9*2*0.2</f>
        <v>0.36000000000000004</v>
      </c>
      <c r="F317" s="60"/>
      <c r="G317" s="63"/>
      <c r="H317" s="43"/>
    </row>
    <row r="318" spans="1:8" s="3" customFormat="1" ht="12.75" customHeight="1">
      <c r="A318" s="38"/>
      <c r="B318" s="54" t="s">
        <v>407</v>
      </c>
      <c r="C318" s="63" t="s">
        <v>408</v>
      </c>
      <c r="D318" s="49"/>
      <c r="E318" s="63">
        <f>(0.6*2*0.4)*3</f>
        <v>1.44</v>
      </c>
      <c r="F318" s="60"/>
      <c r="G318" s="63"/>
      <c r="H318" s="43"/>
    </row>
    <row r="319" spans="1:8" s="28" customFormat="1" ht="12.75" customHeight="1">
      <c r="A319" s="38"/>
      <c r="B319" s="90">
        <v>924</v>
      </c>
      <c r="C319" s="98" t="s">
        <v>432</v>
      </c>
      <c r="D319" s="61"/>
      <c r="E319" s="61"/>
      <c r="F319" s="92"/>
      <c r="G319" s="61"/>
      <c r="H319" s="93">
        <f>SUM(H320)</f>
        <v>0</v>
      </c>
    </row>
    <row r="320" spans="1:8" s="3" customFormat="1" ht="24.95" customHeight="1">
      <c r="A320" s="38">
        <v>117</v>
      </c>
      <c r="B320" s="54" t="s">
        <v>169</v>
      </c>
      <c r="C320" s="65" t="s">
        <v>433</v>
      </c>
      <c r="D320" s="49" t="s">
        <v>434</v>
      </c>
      <c r="E320" s="41"/>
      <c r="F320" s="59">
        <v>1</v>
      </c>
      <c r="G320" s="41"/>
      <c r="H320" s="43">
        <f>F320*G320</f>
        <v>0</v>
      </c>
    </row>
    <row r="321" spans="1:8" s="28" customFormat="1" ht="12.75" customHeight="1">
      <c r="A321" s="38"/>
      <c r="B321" s="99">
        <v>998</v>
      </c>
      <c r="C321" s="100" t="s">
        <v>168</v>
      </c>
      <c r="D321" s="38"/>
      <c r="E321" s="61"/>
      <c r="F321" s="92"/>
      <c r="G321" s="61"/>
      <c r="H321" s="101">
        <f>H322</f>
        <v>0</v>
      </c>
    </row>
    <row r="322" spans="1:8" s="11" customFormat="1" ht="12.75" customHeight="1">
      <c r="A322" s="38">
        <v>118</v>
      </c>
      <c r="B322" s="54" t="s">
        <v>170</v>
      </c>
      <c r="C322" s="65" t="s">
        <v>171</v>
      </c>
      <c r="D322" s="49" t="s">
        <v>434</v>
      </c>
      <c r="E322" s="59"/>
      <c r="F322" s="59">
        <v>1</v>
      </c>
      <c r="G322" s="59"/>
      <c r="H322" s="43">
        <f>F322*G322</f>
        <v>0</v>
      </c>
    </row>
    <row r="323" spans="1:8" s="11" customFormat="1" ht="12.75" customHeight="1">
      <c r="A323" s="67"/>
      <c r="B323" s="68"/>
      <c r="C323" s="69"/>
      <c r="D323" s="70"/>
      <c r="E323" s="70"/>
      <c r="F323" s="71"/>
      <c r="G323" s="70"/>
      <c r="H323" s="66"/>
    </row>
    <row r="324" spans="1:8" s="12" customFormat="1" ht="12.75" customHeight="1">
      <c r="A324" s="15"/>
      <c r="C324" s="20" t="s">
        <v>10</v>
      </c>
      <c r="D324" s="15"/>
      <c r="E324" s="25"/>
      <c r="F324" s="25"/>
      <c r="G324" s="25"/>
      <c r="H324" s="13">
        <f>H173+H14+H321</f>
        <v>0</v>
      </c>
    </row>
    <row r="325" spans="1:8" ht="11.25" customHeight="1">
      <c r="A325" s="12"/>
      <c r="D325" s="12"/>
      <c r="E325" s="26"/>
      <c r="G325" s="26"/>
    </row>
    <row r="326" spans="1:8" ht="11.25" customHeight="1">
      <c r="A326" s="103" t="s">
        <v>167</v>
      </c>
      <c r="B326" s="104"/>
      <c r="C326" s="104"/>
      <c r="D326" s="104"/>
      <c r="E326" s="104"/>
      <c r="F326" s="104"/>
      <c r="G326" s="104"/>
      <c r="H326" s="104"/>
    </row>
    <row r="327" spans="1:8" ht="11.25" customHeight="1">
      <c r="A327" s="103" t="s">
        <v>435</v>
      </c>
      <c r="B327" s="104"/>
      <c r="C327" s="104"/>
      <c r="D327" s="104"/>
      <c r="E327" s="104"/>
      <c r="F327" s="104"/>
      <c r="G327" s="104"/>
      <c r="H327" s="104"/>
    </row>
    <row r="329" spans="1:8" ht="24.95" customHeight="1">
      <c r="A329" s="105" t="s">
        <v>173</v>
      </c>
      <c r="B329" s="105"/>
      <c r="C329" s="105"/>
      <c r="D329" s="105"/>
      <c r="E329" s="105"/>
      <c r="F329" s="105"/>
      <c r="G329" s="105"/>
      <c r="H329" s="105"/>
    </row>
  </sheetData>
  <mergeCells count="3">
    <mergeCell ref="A327:H327"/>
    <mergeCell ref="A326:H326"/>
    <mergeCell ref="A329:H329"/>
  </mergeCells>
  <phoneticPr fontId="1" type="noConversion"/>
  <printOptions horizontalCentered="1"/>
  <pageMargins left="0.78740157480314965" right="0.78740157480314965" top="0.59055118110236227" bottom="0.59055118110236227" header="0" footer="0"/>
  <pageSetup paperSize="9" scale="74" fitToHeight="99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Rozpocet</vt:lpstr>
      <vt:lpstr>Rozpocet!Názvy_tisku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</dc:creator>
  <cp:lastModifiedBy>Administrator</cp:lastModifiedBy>
  <cp:lastPrinted>2012-05-02T15:25:02Z</cp:lastPrinted>
  <dcterms:created xsi:type="dcterms:W3CDTF">2009-04-02T16:36:16Z</dcterms:created>
  <dcterms:modified xsi:type="dcterms:W3CDTF">2012-05-10T13:25:22Z</dcterms:modified>
</cp:coreProperties>
</file>