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2013-ksi-04 - Oprava opěr..." sheetId="2" r:id="rId2"/>
  </sheets>
  <definedNames>
    <definedName name="_xlnm.Print_Titles" localSheetId="1">'2013-ksi-04 - Oprava opěr...'!$122:$122</definedName>
    <definedName name="_xlnm.Print_Titles" localSheetId="0">'Rekapitulace stavby'!$85:$85</definedName>
    <definedName name="_xlnm.Print_Area" localSheetId="1">'2013-ksi-04 - Oprava opěr...'!$C$4:$Q$70,'2013-ksi-04 - Oprava opěr...'!$C$76:$Q$107,'2013-ksi-04 - Oprava opěr...'!$C$113:$Q$239</definedName>
    <definedName name="_xlnm.Print_Area" localSheetId="0">'Rekapitulace stavby'!$C$4:$AP$70,'Rekapitulace stavby'!$C$76:$AP$105</definedName>
  </definedNames>
  <calcPr fullCalcOnLoad="1"/>
</workbook>
</file>

<file path=xl/sharedStrings.xml><?xml version="1.0" encoding="utf-8"?>
<sst xmlns="http://schemas.openxmlformats.org/spreadsheetml/2006/main" count="1350" uniqueCount="352">
  <si>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</si>
  <si>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</si>
  <si>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</si>
  <si>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</si>
  <si>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</si>
  <si>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</si>
  <si>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</si>
  <si>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</si>
  <si>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</si>
  <si>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</si>
  <si>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</si>
  <si>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</si>
  <si>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</si>
  <si>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</si>
  <si>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</si>
  <si>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2013-ksi-04 - Oprava opěrné zdi nad MŠ, na parc.č.1814, Jízdárenská ul., K. Vary</t>
  </si>
  <si>
    <t>0,1</t>
  </si>
  <si>
    <t>1</t>
  </si>
  <si>
    <t>Místo:</t>
  </si>
  <si>
    <t>Karlovy Vary</t>
  </si>
  <si>
    <t>Datum:</t>
  </si>
  <si>
    <t>10</t>
  </si>
  <si>
    <t>100</t>
  </si>
  <si>
    <t>Objednavatel:</t>
  </si>
  <si>
    <t>IČ:</t>
  </si>
  <si>
    <t>Statutární město Karlovy Vary</t>
  </si>
  <si>
    <t>DIČ:</t>
  </si>
  <si>
    <t>Zhotovitel:</t>
  </si>
  <si>
    <t>Vyplň údaj</t>
  </si>
  <si>
    <t>Projektant:</t>
  </si>
  <si>
    <t>25224581</t>
  </si>
  <si>
    <t>Kancelář stavebního inženýrství s.r.o.</t>
  </si>
  <si>
    <t>CZ25224581</t>
  </si>
  <si>
    <t>True</t>
  </si>
  <si>
    <t>Zpracovatel:</t>
  </si>
  <si>
    <t>D. Kryštovová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</si>
  <si>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</si>
  <si>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</si>
  <si>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</si>
  <si>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</si>
  <si>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</si>
  <si>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</si>
  <si>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</si>
  <si>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</si>
  <si>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</si>
  <si>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</si>
  <si>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</si>
  <si>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</si>
  <si>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</si>
  <si>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</si>
  <si>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</si>
  <si>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</si>
  <si>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</si>
  <si>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</si>
  <si>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</si>
  <si>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</si>
  <si>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</si>
  <si>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</si>
  <si>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</si>
  <si>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</si>
  <si>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</si>
  <si>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</si>
  <si>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</si>
  <si>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</si>
  <si>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</si>
  <si>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</si>
  <si>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</si>
  <si>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</si>
  <si>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</si>
  <si>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</si>
  <si>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</si>
  <si>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</si>
  <si>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</si>
  <si>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</si>
  <si>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</si>
  <si>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</si>
  <si>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</si>
  <si>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{9A2674AC-0B10-4EB7-8AA0-3067CB6CD539}</t>
  </si>
  <si>
    <t>{00000000-0000-0000-0000-000000000000}</t>
  </si>
  <si>
    <t>2013-ksi-04</t>
  </si>
  <si>
    <t>Oprava opěrné zdi nad MŠ, na parc.č.1814, Jízdárenská ul., K. Vary</t>
  </si>
  <si>
    <t>###NOINSERT###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</si>
  <si>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</si>
  <si>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</si>
  <si>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</si>
  <si>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</si>
  <si>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</si>
  <si>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</si>
  <si>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</si>
  <si>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</si>
  <si>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</si>
  <si>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</si>
  <si>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</si>
  <si>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</si>
  <si>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</si>
  <si>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</si>
  <si>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</si>
  <si>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</si>
  <si>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</si>
  <si>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</si>
  <si>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</si>
  <si>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</si>
  <si>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</si>
  <si>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</si>
  <si>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</si>
  <si>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</si>
  <si>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</si>
  <si>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</si>
  <si>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</si>
  <si>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</si>
  <si>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</si>
  <si>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</si>
  <si>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</si>
  <si>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</si>
  <si>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</si>
  <si>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</si>
  <si>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</si>
  <si>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765 - Konstrukce pokrývačské</t>
  </si>
  <si>
    <t>VP -   Vícepráce</t>
  </si>
  <si>
    <t>2) Ostatní náklady</t>
  </si>
  <si>
    <t>Zařízení staveniště</t>
  </si>
  <si>
    <t>VRN</t>
  </si>
  <si>
    <t>Mimostav. doprava</t>
  </si>
  <si>
    <t>Dopr. opatření,zábor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</si>
  <si>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</si>
  <si>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</si>
  <si>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</si>
  <si>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</si>
  <si>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</si>
  <si>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</si>
  <si>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</si>
  <si>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</si>
  <si>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</si>
  <si>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</si>
  <si>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</si>
  <si>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</si>
  <si>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</si>
  <si>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</si>
  <si>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</si>
  <si>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</si>
  <si>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</si>
  <si>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</si>
  <si>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</si>
  <si>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</si>
  <si>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</si>
  <si>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112151113</t>
  </si>
  <si>
    <t>Směrové kácení stromů s rozřezáním a odvětvením D kmene do 400 mm</t>
  </si>
  <si>
    <t>kus</t>
  </si>
  <si>
    <t>4</t>
  </si>
  <si>
    <t>112201113</t>
  </si>
  <si>
    <t>Odstranění pařezů D do 0,4 m v rovině a svahu 1:5 s odklizením do 20 m a zasypáním jámy</t>
  </si>
  <si>
    <t>36</t>
  </si>
  <si>
    <t>132301201</t>
  </si>
  <si>
    <t>Hloubení rýh š do 2000 mm v hornině tř. 4 objemu do 100 m3</t>
  </si>
  <si>
    <t>m3</t>
  </si>
  <si>
    <t>0,8*0,6*1,0</t>
  </si>
  <si>
    <t>VV</t>
  </si>
  <si>
    <t>37</t>
  </si>
  <si>
    <t>132301209</t>
  </si>
  <si>
    <t>Příplatek za lepivost k hloubení rýh š do 2000 mm v hornině tř. 4</t>
  </si>
  <si>
    <t>3</t>
  </si>
  <si>
    <t>162301412</t>
  </si>
  <si>
    <t>Vodorovné přemístění kmenů stromů listnatých do 5 km D kmene do 500 mm</t>
  </si>
  <si>
    <t>162301422</t>
  </si>
  <si>
    <t>Vodorovné přemístění pařezů do 5 km D do 500 mm</t>
  </si>
  <si>
    <t>38</t>
  </si>
  <si>
    <t>174101101</t>
  </si>
  <si>
    <t>Zásyp jam, šachet rýh nebo kolem objektů sypaninou se zhutněním</t>
  </si>
  <si>
    <t>39</t>
  </si>
  <si>
    <t>274313811</t>
  </si>
  <si>
    <t>Základové pásy z betonu tř. C 30/37 XF1 XA1</t>
  </si>
  <si>
    <t>0,6*0,8*1,0</t>
  </si>
  <si>
    <t>5</t>
  </si>
  <si>
    <t>317321018</t>
  </si>
  <si>
    <t>Římsy opěrných zdí a valů ze ŽB tř. C 30/37 XF1 XA1</t>
  </si>
  <si>
    <t>56,365*0,75*0,12</t>
  </si>
  <si>
    <t>0,43*(0,26*1,9+0,05*1,9+0,35*1,9+0,08*1,9+0,17*2,99*2+0,24*2,99*2+0,10*2,99*2+0,17*2,99+0,32*2,99*4+0,03*2,99*2+0,05*2,99+0,32*2,99*2)</t>
  </si>
  <si>
    <t>6</t>
  </si>
  <si>
    <t>317353111</t>
  </si>
  <si>
    <t>Bednění říms opěrných zdí a valů přímých, zalomených nebo zakřivených zřízení</t>
  </si>
  <si>
    <t>m2</t>
  </si>
  <si>
    <t>56,365*(0,12*2+0,06*2)</t>
  </si>
  <si>
    <t>0,75*0,12*8</t>
  </si>
  <si>
    <t>2*(0,26*1,9+0,05*1,9+0,35*1,9+0,08*1,9+0,17*2,99*2+0,24*2,99*2+0,10*2,99*2+0,17*2,99+0,32*2,99*4+0,03*2,99*2+0,05*2,99+0,32*2,99*2)</t>
  </si>
  <si>
    <t>1,032</t>
  </si>
  <si>
    <t>7</t>
  </si>
  <si>
    <t>317353112</t>
  </si>
  <si>
    <t>Bednění říms opěrných zdí a valů přímých, zalomených nebo zakřivených odstranění</t>
  </si>
  <si>
    <t>8</t>
  </si>
  <si>
    <t>317361016</t>
  </si>
  <si>
    <t>Výztuž říms opěrných zdí a valů z betonářské oceli 10 505</t>
  </si>
  <si>
    <t>t</t>
  </si>
  <si>
    <t>9,818*120*0,001</t>
  </si>
  <si>
    <t>47</t>
  </si>
  <si>
    <t>330321610</t>
  </si>
  <si>
    <t>Sloupy nebo pilíře ze ŽB tř. C 30/37 XA1 CF1</t>
  </si>
  <si>
    <t>0,75*0,545*(2,43+0,26)</t>
  </si>
  <si>
    <t>48</t>
  </si>
  <si>
    <t>331351101</t>
  </si>
  <si>
    <t>Zřízení bednění sloupů čtyřúhelníkových v do 4 m</t>
  </si>
  <si>
    <t>(0,75*2+2*0,545)*(2,43+0,26)</t>
  </si>
  <si>
    <t>49</t>
  </si>
  <si>
    <t>331351102</t>
  </si>
  <si>
    <t>Odstranění bednění sloupů čtyřúhelníkových v do 4 m</t>
  </si>
  <si>
    <t>50</t>
  </si>
  <si>
    <t>331361821</t>
  </si>
  <si>
    <t>Výztuž sloupů hranatých betonářskou ocelí 10 505</t>
  </si>
  <si>
    <t>1,1*120*0,001</t>
  </si>
  <si>
    <t>9</t>
  </si>
  <si>
    <t>338171113</t>
  </si>
  <si>
    <t>Osazování sloupků a vzpěr plotových ocelových v 2 m se zabetonováním</t>
  </si>
  <si>
    <t>M</t>
  </si>
  <si>
    <t>553422510</t>
  </si>
  <si>
    <t>sloupek plotový  60x200 Nela-Premium</t>
  </si>
  <si>
    <t>11</t>
  </si>
  <si>
    <t>348171120</t>
  </si>
  <si>
    <t>Osazení rámového oplocení výšky do 1,5 m ve sklonu svahu do 15°</t>
  </si>
  <si>
    <t>m</t>
  </si>
  <si>
    <t>12</t>
  </si>
  <si>
    <t>553423520</t>
  </si>
  <si>
    <t>plotové pole plaňkové z kovových profilů - Nela-Premium</t>
  </si>
  <si>
    <t>13</t>
  </si>
  <si>
    <t>628195001</t>
  </si>
  <si>
    <t>Očištění zdiva nebo betonu zdí a valů před započetím oprav ručně</t>
  </si>
  <si>
    <t>73,473+28,183+56,365*0,5</t>
  </si>
  <si>
    <t>14</t>
  </si>
  <si>
    <t>931994142</t>
  </si>
  <si>
    <t>Těsnění dilatační spáry betonové konstrukce polyuretanovým tmelem do pl 4,0 cm2</t>
  </si>
  <si>
    <t>0,9+1,48+1,9+7,0+1,6+3,0+1,6+0,8</t>
  </si>
  <si>
    <t>953732212</t>
  </si>
  <si>
    <t>Vložení pvc trubky do odvod otvorů</t>
  </si>
  <si>
    <t>46</t>
  </si>
  <si>
    <t>953945269</t>
  </si>
  <si>
    <t>Kotvy mechanické M 22 dl1000 mm pro  kotvení do betonu, ŽB nebo kamene s vyvrtáním otvoru</t>
  </si>
  <si>
    <t>16</t>
  </si>
  <si>
    <t>953961115</t>
  </si>
  <si>
    <t>Kotvy chemickým tmelem M 18 hl 170 mm do betonu, ŽB nebo kamene s vyvrtáním otvoru</t>
  </si>
  <si>
    <t>55</t>
  </si>
  <si>
    <t>953965</t>
  </si>
  <si>
    <t>Demontáž a zpětná montáž závěsů stávající brány</t>
  </si>
  <si>
    <t>kpl</t>
  </si>
  <si>
    <t>17</t>
  </si>
  <si>
    <t>962052314</t>
  </si>
  <si>
    <t>Bourání pilířů ze ŽB</t>
  </si>
  <si>
    <t>0,54*0,56*1,79</t>
  </si>
  <si>
    <t>0,44*0,44*(1,87+0,2)</t>
  </si>
  <si>
    <t>0,43*0,42*1,62</t>
  </si>
  <si>
    <t>0,45*0,44*(1,47+0,2)</t>
  </si>
  <si>
    <t>0,43*0,43*( 1,47+1,4+1,4+1,42+1,27+0,2*5)</t>
  </si>
  <si>
    <t>0,4*0,4*(1,49+0,2)</t>
  </si>
  <si>
    <t>0,42*0,43*(1,45+1,42+0,2*2)</t>
  </si>
  <si>
    <t>0,43*0,44*(1,42+0,2)</t>
  </si>
  <si>
    <t>0,42*0,42*(1,45+0,2)</t>
  </si>
  <si>
    <t>0,48*0,44*(1,29+0,2)</t>
  </si>
  <si>
    <t>0,49*0,4*(1,27+0,2)</t>
  </si>
  <si>
    <t>18</t>
  </si>
  <si>
    <t>966003810</t>
  </si>
  <si>
    <t>Rozebrání oplocení s příčníky a dřevěnými sloupky z prken a latí</t>
  </si>
  <si>
    <t>19</t>
  </si>
  <si>
    <t>966054121</t>
  </si>
  <si>
    <t>Vybourání částí ŽB říms vyložených do 500 mm</t>
  </si>
  <si>
    <t>2,5+2,3+2,235+3,76+3,73+3,74+3,73+3,75+3,72+3,71+3,74+3,74+3,74+2,88+2,02</t>
  </si>
  <si>
    <t>20</t>
  </si>
  <si>
    <t>977151123</t>
  </si>
  <si>
    <t>Jádrové vrty diamantovými korunkami do D 150 mm do stavebních materiálů</t>
  </si>
  <si>
    <t>17*0,6</t>
  </si>
  <si>
    <t>978036181</t>
  </si>
  <si>
    <t>Otlučení vnějších omítek břízolitových o rozsahu do 80 %</t>
  </si>
  <si>
    <t>(2,02+0,49)*(1,05+0,8)/2</t>
  </si>
  <si>
    <t>(0,48+2,88)*(1,05+0,9)/2</t>
  </si>
  <si>
    <t>(3,74+0,43)*(0,8+1,48)/2</t>
  </si>
  <si>
    <t>(3,74+0,43)*(1,48+1,55)/2</t>
  </si>
  <si>
    <t>(3,74+0,42)*(1,55+1,61)/2</t>
  </si>
  <si>
    <t>(3,71+0,42)*(1,61+1,83)/2</t>
  </si>
  <si>
    <t>(3,72+0,43)*(1,83+1,47)/2</t>
  </si>
  <si>
    <t>(3,75+0,43)*(1,47+1,6)/2</t>
  </si>
  <si>
    <t>(3,73+0,43)*(1,6+1,5)/2</t>
  </si>
  <si>
    <t>(3,74+0,42)*(1,5+1,41)/2</t>
  </si>
  <si>
    <t>(3,73+0,4)*(1,41+1,3)/2</t>
  </si>
  <si>
    <t>(3,76+0,43)*(1,3+1,17)/2</t>
  </si>
  <si>
    <t>(2,235+0,45)*(1,17+0,98)/2</t>
  </si>
  <si>
    <t>(2,3+0,43+0,44)*(0,98+0,59)/2</t>
  </si>
  <si>
    <t>(2,5+0,54)*(0,3+0,5)/2</t>
  </si>
  <si>
    <t>0,5*56,365</t>
  </si>
  <si>
    <t>22</t>
  </si>
  <si>
    <t>985141111</t>
  </si>
  <si>
    <t>Vyčištění trhlin a dutin ve zdivu š do 30 mm hl do 150 mm</t>
  </si>
  <si>
    <t>23</t>
  </si>
  <si>
    <t>985241111</t>
  </si>
  <si>
    <t>Plombování zdiva betonem s upěchováním včetně vybourání narušeného zdiva</t>
  </si>
  <si>
    <t>18,28*0,03*0,10</t>
  </si>
  <si>
    <t>24</t>
  </si>
  <si>
    <t>589333280</t>
  </si>
  <si>
    <t>směs pro beton třída C30/37 XF1 frakce do 8 mm</t>
  </si>
  <si>
    <t>25</t>
  </si>
  <si>
    <t>985324211</t>
  </si>
  <si>
    <t>Ochranný akrylátový nátěr betonu dvojnásobný s impregnací (OS-B)</t>
  </si>
  <si>
    <t>151,907</t>
  </si>
  <si>
    <t>56,365*(0,06*2+0,12*2+0,75)</t>
  </si>
  <si>
    <t>(0,75*2+0,545*2)*2,43</t>
  </si>
  <si>
    <t>26</t>
  </si>
  <si>
    <t>985521111</t>
  </si>
  <si>
    <t>Stříkaný beton z mokré směsi stěn tl do 30 mm vč. uhlazení povrchu</t>
  </si>
  <si>
    <t>129,839</t>
  </si>
  <si>
    <t>27</t>
  </si>
  <si>
    <t>985521119</t>
  </si>
  <si>
    <t>Příplatek ke stříkanému betonu z mokré směsi stěn ZKD 10 mm</t>
  </si>
  <si>
    <t>151,907*7</t>
  </si>
  <si>
    <t>28</t>
  </si>
  <si>
    <t>985562312</t>
  </si>
  <si>
    <t>Výztuž stříkaného betonu stěn ze svařovaných sítí jednovrstvých D drátu 6 mm velikost ok přes 100 mm</t>
  </si>
  <si>
    <t>29</t>
  </si>
  <si>
    <t>985564212</t>
  </si>
  <si>
    <t>Kotvičky pro výztuž stříkaného betonu hl do 200 mm z oceli D 8 mm do chemické malty</t>
  </si>
  <si>
    <t>151,907*4</t>
  </si>
  <si>
    <t>30</t>
  </si>
  <si>
    <t>997002511</t>
  </si>
  <si>
    <t>Vodorovné přemístění suti a vybouraných hmot bez naložení ale se složením a urovnáním do 1 km</t>
  </si>
  <si>
    <t>31</t>
  </si>
  <si>
    <t>997002519</t>
  </si>
  <si>
    <t>Příplatek ZKD 1 km přemístění suti a vybouraných hmot</t>
  </si>
  <si>
    <t>32</t>
  </si>
  <si>
    <t>997013111</t>
  </si>
  <si>
    <t>Vnitrostaveništní doprava suti a vybouraných hmot pro budovy v do 6 m s použitím mechanizace</t>
  </si>
  <si>
    <t>33</t>
  </si>
  <si>
    <t>997013831</t>
  </si>
  <si>
    <t>Poplatek za uložení stavebního směsného odpadu na skládce (skládkovné)</t>
  </si>
  <si>
    <t>34</t>
  </si>
  <si>
    <t>998153211</t>
  </si>
  <si>
    <t>Přesun hmot ruční pro samostatné zdi a valy zděné nebo betonové monolitické v do 20 m</t>
  </si>
  <si>
    <t>53</t>
  </si>
  <si>
    <t>765114351</t>
  </si>
  <si>
    <t>Krytina keramická bobrovka hřeben z hřebenáčů režných zplna do malty</t>
  </si>
  <si>
    <t>35</t>
  </si>
  <si>
    <t>765211805</t>
  </si>
  <si>
    <t>Demontáž krytiny keramické drážkové na zdech se zvětralou maltou do suti</t>
  </si>
  <si>
    <t>0,4*2*15</t>
  </si>
  <si>
    <t>52</t>
  </si>
  <si>
    <t>765213142</t>
  </si>
  <si>
    <t>Krytina keramická drážková maloformátová engobovaná na požárních zdech do malty šířky do 40 cm</t>
  </si>
  <si>
    <t>54</t>
  </si>
  <si>
    <t>998765101</t>
  </si>
  <si>
    <t>Přesun hmot tonážní pro krytiny skládané v objektech v do 6 m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</si>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</sst>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1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7" fillId="35" borderId="18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33" xfId="0" applyFont="1" applyBorder="1" applyAlignment="1">
      <alignment horizontal="center" vertical="center"/>
    </xf>
    <xf numFmtId="49" fontId="30" fillId="0" borderId="33" xfId="0" applyNumberFormat="1" applyFont="1" applyBorder="1" applyAlignment="1">
      <alignment horizontal="left" vertical="center" wrapText="1"/>
    </xf>
    <xf numFmtId="0" fontId="30" fillId="0" borderId="33" xfId="0" applyFont="1" applyBorder="1" applyAlignment="1">
      <alignment horizontal="center" vertical="center" wrapText="1"/>
    </xf>
    <xf numFmtId="168" fontId="30" fillId="0" borderId="33" xfId="0" applyNumberFormat="1" applyFont="1" applyBorder="1" applyAlignment="1">
      <alignment horizontal="righ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center" vertical="center"/>
    </xf>
    <xf numFmtId="0" fontId="69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0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3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23" fillId="34" borderId="0" xfId="0" applyNumberFormat="1" applyFont="1" applyFill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9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0" fillId="35" borderId="36" xfId="0" applyFill="1" applyBorder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7" fillId="35" borderId="18" xfId="0" applyFont="1" applyFill="1" applyBorder="1" applyAlignment="1">
      <alignment horizontal="left" vertical="center"/>
    </xf>
    <xf numFmtId="164" fontId="7" fillId="35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9" fontId="9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4" fontId="23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64" fontId="25" fillId="0" borderId="0" xfId="0" applyNumberFormat="1" applyFont="1" applyAlignment="1">
      <alignment horizontal="right"/>
    </xf>
    <xf numFmtId="0" fontId="70" fillId="33" borderId="0" xfId="36" applyFont="1" applyFill="1" applyAlignment="1" applyProtection="1">
      <alignment horizontal="center" vertical="center"/>
      <protection/>
    </xf>
    <xf numFmtId="164" fontId="18" fillId="0" borderId="0" xfId="0" applyNumberFormat="1" applyFont="1" applyAlignment="1">
      <alignment horizontal="right"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33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/>
    </xf>
    <xf numFmtId="164" fontId="30" fillId="34" borderId="33" xfId="0" applyNumberFormat="1" applyFont="1" applyFill="1" applyBorder="1" applyAlignment="1">
      <alignment horizontal="right" vertical="center"/>
    </xf>
    <xf numFmtId="164" fontId="30" fillId="0" borderId="33" xfId="0" applyNumberFormat="1" applyFont="1" applyBorder="1" applyAlignment="1">
      <alignment horizontal="right" vertical="center"/>
    </xf>
    <xf numFmtId="166" fontId="9" fillId="0" borderId="0" xfId="0" applyNumberFormat="1" applyFont="1" applyAlignment="1">
      <alignment horizontal="left" vertical="top"/>
    </xf>
    <xf numFmtId="0" fontId="9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164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9" fillId="35" borderId="0" xfId="0" applyFont="1" applyFill="1" applyAlignment="1">
      <alignment horizontal="center" vertical="center"/>
    </xf>
    <xf numFmtId="164" fontId="13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0" fontId="9" fillId="34" borderId="0" xfId="0" applyFont="1" applyFill="1" applyAlignment="1">
      <alignment horizontal="left" vertical="center"/>
    </xf>
    <xf numFmtId="166" fontId="9" fillId="34" borderId="0" xfId="0" applyNumberFormat="1" applyFont="1" applyFill="1" applyAlignment="1">
      <alignment horizontal="left" vertical="top"/>
    </xf>
    <xf numFmtId="14" fontId="9" fillId="34" borderId="0" xfId="0" applyNumberFormat="1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FCB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A20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1FCB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47625</xdr:colOff>
      <xdr:row>47</xdr:row>
      <xdr:rowOff>161925</xdr:rowOff>
    </xdr:from>
    <xdr:to>
      <xdr:col>40</xdr:col>
      <xdr:colOff>409575</xdr:colOff>
      <xdr:row>57</xdr:row>
      <xdr:rowOff>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0" y="8677275"/>
          <a:ext cx="22193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BA20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552450</xdr:colOff>
      <xdr:row>49</xdr:row>
      <xdr:rowOff>76200</xdr:rowOff>
    </xdr:from>
    <xdr:to>
      <xdr:col>15</xdr:col>
      <xdr:colOff>628650</xdr:colOff>
      <xdr:row>58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76850" y="8763000"/>
          <a:ext cx="22193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zoomScalePageLayoutView="0" workbookViewId="0" topLeftCell="A1">
      <pane ySplit="1" topLeftCell="A87" activePane="bottomLeft" state="frozen"/>
      <selection pane="topLeft" activeCell="A1" sqref="A1"/>
      <selection pane="bottomLeft" activeCell="AN81" sqref="AN8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41" t="s">
        <v>0</v>
      </c>
      <c r="B1" s="142"/>
      <c r="C1" s="142"/>
      <c r="D1" s="143" t="s">
        <v>1</v>
      </c>
      <c r="E1" s="142"/>
      <c r="F1" s="142"/>
      <c r="G1" s="142"/>
      <c r="H1" s="142"/>
      <c r="I1" s="142"/>
      <c r="J1" s="142"/>
      <c r="K1" s="144" t="s">
        <v>345</v>
      </c>
      <c r="L1" s="144"/>
      <c r="M1" s="144"/>
      <c r="N1" s="144"/>
      <c r="O1" s="144"/>
      <c r="P1" s="144"/>
      <c r="Q1" s="144"/>
      <c r="R1" s="144"/>
      <c r="S1" s="144"/>
      <c r="T1" s="142"/>
      <c r="U1" s="142"/>
      <c r="V1" s="142"/>
      <c r="W1" s="144" t="s">
        <v>346</v>
      </c>
      <c r="X1" s="144"/>
      <c r="Y1" s="144"/>
      <c r="Z1" s="144"/>
      <c r="AA1" s="144"/>
      <c r="AB1" s="144"/>
      <c r="AC1" s="144"/>
      <c r="AD1" s="144"/>
      <c r="AE1" s="144"/>
      <c r="AF1" s="144"/>
      <c r="AG1" s="142"/>
      <c r="AH1" s="14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75" t="s">
        <v>4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R2" s="148" t="s">
        <v>5</v>
      </c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66" t="s">
        <v>9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1"/>
      <c r="AS4" s="12" t="s">
        <v>10</v>
      </c>
      <c r="BE4" s="13" t="s">
        <v>11</v>
      </c>
      <c r="BS4" s="6" t="s">
        <v>12</v>
      </c>
    </row>
    <row r="5" spans="2:71" s="2" customFormat="1" ht="7.5" customHeight="1">
      <c r="B5" s="10"/>
      <c r="AQ5" s="11"/>
      <c r="BE5" s="176" t="s">
        <v>13</v>
      </c>
      <c r="BS5" s="6" t="s">
        <v>6</v>
      </c>
    </row>
    <row r="6" spans="2:71" s="2" customFormat="1" ht="26.25" customHeight="1">
      <c r="B6" s="10"/>
      <c r="D6" s="14" t="s">
        <v>14</v>
      </c>
      <c r="K6" s="167" t="s">
        <v>15</v>
      </c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Q6" s="11"/>
      <c r="BE6" s="149"/>
      <c r="BS6" s="6" t="s">
        <v>16</v>
      </c>
    </row>
    <row r="7" spans="2:71" s="2" customFormat="1" ht="7.5" customHeight="1">
      <c r="B7" s="10"/>
      <c r="AQ7" s="11"/>
      <c r="BE7" s="149"/>
      <c r="BS7" s="6" t="s">
        <v>17</v>
      </c>
    </row>
    <row r="8" spans="2:71" s="2" customFormat="1" ht="15" customHeight="1">
      <c r="B8" s="10"/>
      <c r="D8" s="15" t="s">
        <v>18</v>
      </c>
      <c r="K8" s="16" t="s">
        <v>19</v>
      </c>
      <c r="AK8" s="15" t="s">
        <v>20</v>
      </c>
      <c r="AN8" s="209">
        <v>41248</v>
      </c>
      <c r="AQ8" s="11"/>
      <c r="BE8" s="149"/>
      <c r="BS8" s="6" t="s">
        <v>21</v>
      </c>
    </row>
    <row r="9" spans="2:71" s="2" customFormat="1" ht="15" customHeight="1">
      <c r="B9" s="10"/>
      <c r="AQ9" s="11"/>
      <c r="BE9" s="149"/>
      <c r="BS9" s="6" t="s">
        <v>22</v>
      </c>
    </row>
    <row r="10" spans="2:71" s="2" customFormat="1" ht="15" customHeight="1">
      <c r="B10" s="10"/>
      <c r="D10" s="15" t="s">
        <v>23</v>
      </c>
      <c r="AK10" s="15" t="s">
        <v>24</v>
      </c>
      <c r="AN10" s="16"/>
      <c r="AQ10" s="11"/>
      <c r="BE10" s="149"/>
      <c r="BS10" s="6" t="s">
        <v>16</v>
      </c>
    </row>
    <row r="11" spans="2:71" s="2" customFormat="1" ht="19.5" customHeight="1">
      <c r="B11" s="10"/>
      <c r="E11" s="16" t="s">
        <v>25</v>
      </c>
      <c r="AK11" s="15" t="s">
        <v>26</v>
      </c>
      <c r="AN11" s="16"/>
      <c r="AQ11" s="11"/>
      <c r="BE11" s="149"/>
      <c r="BS11" s="6" t="s">
        <v>16</v>
      </c>
    </row>
    <row r="12" spans="2:71" s="2" customFormat="1" ht="7.5" customHeight="1">
      <c r="B12" s="10"/>
      <c r="AQ12" s="11"/>
      <c r="BE12" s="149"/>
      <c r="BS12" s="6" t="s">
        <v>16</v>
      </c>
    </row>
    <row r="13" spans="2:71" s="2" customFormat="1" ht="15" customHeight="1">
      <c r="B13" s="10"/>
      <c r="D13" s="15" t="s">
        <v>27</v>
      </c>
      <c r="AK13" s="15" t="s">
        <v>24</v>
      </c>
      <c r="AN13" s="17" t="s">
        <v>28</v>
      </c>
      <c r="AQ13" s="11"/>
      <c r="BE13" s="149"/>
      <c r="BS13" s="6" t="s">
        <v>16</v>
      </c>
    </row>
    <row r="14" spans="2:71" s="2" customFormat="1" ht="15.75" customHeight="1">
      <c r="B14" s="10"/>
      <c r="E14" s="177" t="s">
        <v>28</v>
      </c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" t="s">
        <v>26</v>
      </c>
      <c r="AN14" s="17" t="s">
        <v>28</v>
      </c>
      <c r="AQ14" s="11"/>
      <c r="BE14" s="149"/>
      <c r="BS14" s="6" t="s">
        <v>16</v>
      </c>
    </row>
    <row r="15" spans="2:71" s="2" customFormat="1" ht="7.5" customHeight="1">
      <c r="B15" s="10"/>
      <c r="AQ15" s="11"/>
      <c r="BE15" s="149"/>
      <c r="BS15" s="6" t="s">
        <v>3</v>
      </c>
    </row>
    <row r="16" spans="2:71" s="2" customFormat="1" ht="15" customHeight="1">
      <c r="B16" s="10"/>
      <c r="D16" s="15" t="s">
        <v>29</v>
      </c>
      <c r="AK16" s="15" t="s">
        <v>24</v>
      </c>
      <c r="AN16" s="16" t="s">
        <v>30</v>
      </c>
      <c r="AQ16" s="11"/>
      <c r="BE16" s="149"/>
      <c r="BS16" s="6" t="s">
        <v>3</v>
      </c>
    </row>
    <row r="17" spans="2:71" s="2" customFormat="1" ht="19.5" customHeight="1">
      <c r="B17" s="10"/>
      <c r="E17" s="16" t="s">
        <v>31</v>
      </c>
      <c r="AK17" s="15" t="s">
        <v>26</v>
      </c>
      <c r="AN17" s="16" t="s">
        <v>32</v>
      </c>
      <c r="AQ17" s="11"/>
      <c r="BE17" s="149"/>
      <c r="BS17" s="6" t="s">
        <v>33</v>
      </c>
    </row>
    <row r="18" spans="2:71" s="2" customFormat="1" ht="7.5" customHeight="1">
      <c r="B18" s="10"/>
      <c r="AQ18" s="11"/>
      <c r="BE18" s="149"/>
      <c r="BS18" s="6" t="s">
        <v>6</v>
      </c>
    </row>
    <row r="19" spans="2:71" s="2" customFormat="1" ht="15" customHeight="1">
      <c r="B19" s="10"/>
      <c r="D19" s="15" t="s">
        <v>34</v>
      </c>
      <c r="AK19" s="15" t="s">
        <v>24</v>
      </c>
      <c r="AN19" s="16"/>
      <c r="AQ19" s="11"/>
      <c r="BE19" s="149"/>
      <c r="BS19" s="6" t="s">
        <v>16</v>
      </c>
    </row>
    <row r="20" spans="2:57" s="2" customFormat="1" ht="19.5" customHeight="1">
      <c r="B20" s="10"/>
      <c r="E20" s="16" t="s">
        <v>35</v>
      </c>
      <c r="AK20" s="15" t="s">
        <v>26</v>
      </c>
      <c r="AN20" s="16"/>
      <c r="AQ20" s="11"/>
      <c r="BE20" s="149"/>
    </row>
    <row r="21" spans="2:57" s="2" customFormat="1" ht="7.5" customHeight="1">
      <c r="B21" s="10"/>
      <c r="AQ21" s="11"/>
      <c r="BE21" s="149"/>
    </row>
    <row r="22" spans="2:57" s="2" customFormat="1" ht="7.5" customHeight="1">
      <c r="B22" s="1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Q22" s="11"/>
      <c r="BE22" s="149"/>
    </row>
    <row r="23" spans="2:57" s="2" customFormat="1" ht="15" customHeight="1">
      <c r="B23" s="10"/>
      <c r="D23" s="19" t="s">
        <v>36</v>
      </c>
      <c r="AK23" s="178">
        <f>ROUNDUP($AG$87,2)</f>
        <v>0</v>
      </c>
      <c r="AL23" s="149"/>
      <c r="AM23" s="149"/>
      <c r="AN23" s="149"/>
      <c r="AO23" s="149"/>
      <c r="AQ23" s="11"/>
      <c r="BE23" s="149"/>
    </row>
    <row r="24" spans="2:57" s="2" customFormat="1" ht="15" customHeight="1">
      <c r="B24" s="10"/>
      <c r="D24" s="19" t="s">
        <v>37</v>
      </c>
      <c r="AK24" s="178">
        <f>ROUNDUP($AG$90,2)</f>
        <v>0</v>
      </c>
      <c r="AL24" s="149"/>
      <c r="AM24" s="149"/>
      <c r="AN24" s="149"/>
      <c r="AO24" s="149"/>
      <c r="AQ24" s="11"/>
      <c r="BE24" s="149"/>
    </row>
    <row r="25" spans="2:57" s="6" customFormat="1" ht="7.5" customHeight="1">
      <c r="B25" s="20"/>
      <c r="AQ25" s="21"/>
      <c r="BE25" s="151"/>
    </row>
    <row r="26" spans="2:57" s="6" customFormat="1" ht="27" customHeight="1">
      <c r="B26" s="20"/>
      <c r="D26" s="22" t="s">
        <v>38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179">
        <f>ROUNDUP($AK$23+$AK$24,2)</f>
        <v>0</v>
      </c>
      <c r="AL26" s="180"/>
      <c r="AM26" s="180"/>
      <c r="AN26" s="180"/>
      <c r="AO26" s="180"/>
      <c r="AQ26" s="21"/>
      <c r="BE26" s="151"/>
    </row>
    <row r="27" spans="2:57" s="6" customFormat="1" ht="7.5" customHeight="1">
      <c r="B27" s="20"/>
      <c r="AQ27" s="21"/>
      <c r="BE27" s="151"/>
    </row>
    <row r="28" spans="2:57" s="6" customFormat="1" ht="15" customHeight="1">
      <c r="B28" s="24"/>
      <c r="D28" s="25" t="s">
        <v>39</v>
      </c>
      <c r="F28" s="25" t="s">
        <v>40</v>
      </c>
      <c r="L28" s="172">
        <v>0.21</v>
      </c>
      <c r="M28" s="173"/>
      <c r="N28" s="173"/>
      <c r="O28" s="173"/>
      <c r="T28" s="27" t="s">
        <v>41</v>
      </c>
      <c r="W28" s="174">
        <f>ROUNDUP($AZ$87+SUM($CD$91:$CD$104),2)</f>
        <v>0</v>
      </c>
      <c r="X28" s="173"/>
      <c r="Y28" s="173"/>
      <c r="Z28" s="173"/>
      <c r="AA28" s="173"/>
      <c r="AB28" s="173"/>
      <c r="AC28" s="173"/>
      <c r="AD28" s="173"/>
      <c r="AE28" s="173"/>
      <c r="AK28" s="174">
        <f>ROUNDUP($AV$87+SUM($BY$91:$BY$104),1)</f>
        <v>0</v>
      </c>
      <c r="AL28" s="173"/>
      <c r="AM28" s="173"/>
      <c r="AN28" s="173"/>
      <c r="AO28" s="173"/>
      <c r="AQ28" s="28"/>
      <c r="BE28" s="173"/>
    </row>
    <row r="29" spans="2:57" s="6" customFormat="1" ht="15" customHeight="1">
      <c r="B29" s="24"/>
      <c r="F29" s="25" t="s">
        <v>42</v>
      </c>
      <c r="L29" s="172">
        <v>0.15</v>
      </c>
      <c r="M29" s="173"/>
      <c r="N29" s="173"/>
      <c r="O29" s="173"/>
      <c r="T29" s="27" t="s">
        <v>41</v>
      </c>
      <c r="W29" s="174">
        <f>ROUNDUP($BA$87+SUM($CE$91:$CE$104),2)</f>
        <v>0</v>
      </c>
      <c r="X29" s="173"/>
      <c r="Y29" s="173"/>
      <c r="Z29" s="173"/>
      <c r="AA29" s="173"/>
      <c r="AB29" s="173"/>
      <c r="AC29" s="173"/>
      <c r="AD29" s="173"/>
      <c r="AE29" s="173"/>
      <c r="AK29" s="174">
        <f>ROUNDUP($AW$87+SUM($BZ$91:$BZ$104),1)</f>
        <v>0</v>
      </c>
      <c r="AL29" s="173"/>
      <c r="AM29" s="173"/>
      <c r="AN29" s="173"/>
      <c r="AO29" s="173"/>
      <c r="AQ29" s="28"/>
      <c r="BE29" s="173"/>
    </row>
    <row r="30" spans="2:57" s="6" customFormat="1" ht="15" customHeight="1" hidden="1">
      <c r="B30" s="24"/>
      <c r="F30" s="25" t="s">
        <v>43</v>
      </c>
      <c r="L30" s="172">
        <v>0.21</v>
      </c>
      <c r="M30" s="173"/>
      <c r="N30" s="173"/>
      <c r="O30" s="173"/>
      <c r="T30" s="27" t="s">
        <v>41</v>
      </c>
      <c r="W30" s="174">
        <f>ROUNDUP($BB$87+SUM($CF$91:$CF$104),2)</f>
        <v>0</v>
      </c>
      <c r="X30" s="173"/>
      <c r="Y30" s="173"/>
      <c r="Z30" s="173"/>
      <c r="AA30" s="173"/>
      <c r="AB30" s="173"/>
      <c r="AC30" s="173"/>
      <c r="AD30" s="173"/>
      <c r="AE30" s="173"/>
      <c r="AK30" s="174">
        <v>0</v>
      </c>
      <c r="AL30" s="173"/>
      <c r="AM30" s="173"/>
      <c r="AN30" s="173"/>
      <c r="AO30" s="173"/>
      <c r="AQ30" s="28"/>
      <c r="BE30" s="173"/>
    </row>
    <row r="31" spans="2:57" s="6" customFormat="1" ht="15" customHeight="1" hidden="1">
      <c r="B31" s="24"/>
      <c r="F31" s="25" t="s">
        <v>44</v>
      </c>
      <c r="L31" s="172">
        <v>0.15</v>
      </c>
      <c r="M31" s="173"/>
      <c r="N31" s="173"/>
      <c r="O31" s="173"/>
      <c r="T31" s="27" t="s">
        <v>41</v>
      </c>
      <c r="W31" s="174">
        <f>ROUNDUP($BC$87+SUM($CG$91:$CG$104),2)</f>
        <v>0</v>
      </c>
      <c r="X31" s="173"/>
      <c r="Y31" s="173"/>
      <c r="Z31" s="173"/>
      <c r="AA31" s="173"/>
      <c r="AB31" s="173"/>
      <c r="AC31" s="173"/>
      <c r="AD31" s="173"/>
      <c r="AE31" s="173"/>
      <c r="AK31" s="174">
        <v>0</v>
      </c>
      <c r="AL31" s="173"/>
      <c r="AM31" s="173"/>
      <c r="AN31" s="173"/>
      <c r="AO31" s="173"/>
      <c r="AQ31" s="28"/>
      <c r="BE31" s="173"/>
    </row>
    <row r="32" spans="2:57" s="6" customFormat="1" ht="15" customHeight="1" hidden="1">
      <c r="B32" s="24"/>
      <c r="F32" s="25" t="s">
        <v>45</v>
      </c>
      <c r="L32" s="172">
        <v>0</v>
      </c>
      <c r="M32" s="173"/>
      <c r="N32" s="173"/>
      <c r="O32" s="173"/>
      <c r="T32" s="27" t="s">
        <v>41</v>
      </c>
      <c r="W32" s="174">
        <f>ROUNDUP($BD$87+SUM($CH$91:$CH$104),2)</f>
        <v>0</v>
      </c>
      <c r="X32" s="173"/>
      <c r="Y32" s="173"/>
      <c r="Z32" s="173"/>
      <c r="AA32" s="173"/>
      <c r="AB32" s="173"/>
      <c r="AC32" s="173"/>
      <c r="AD32" s="173"/>
      <c r="AE32" s="173"/>
      <c r="AK32" s="174">
        <v>0</v>
      </c>
      <c r="AL32" s="173"/>
      <c r="AM32" s="173"/>
      <c r="AN32" s="173"/>
      <c r="AO32" s="173"/>
      <c r="AQ32" s="28"/>
      <c r="BE32" s="173"/>
    </row>
    <row r="33" spans="2:57" s="6" customFormat="1" ht="7.5" customHeight="1">
      <c r="B33" s="20"/>
      <c r="AQ33" s="21"/>
      <c r="BE33" s="151"/>
    </row>
    <row r="34" spans="2:57" s="6" customFormat="1" ht="27" customHeight="1">
      <c r="B34" s="20"/>
      <c r="C34" s="29"/>
      <c r="D34" s="30" t="s">
        <v>46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 t="s">
        <v>47</v>
      </c>
      <c r="U34" s="31"/>
      <c r="V34" s="31"/>
      <c r="W34" s="31"/>
      <c r="X34" s="164" t="s">
        <v>48</v>
      </c>
      <c r="Y34" s="157"/>
      <c r="Z34" s="157"/>
      <c r="AA34" s="157"/>
      <c r="AB34" s="157"/>
      <c r="AC34" s="31"/>
      <c r="AD34" s="31"/>
      <c r="AE34" s="31"/>
      <c r="AF34" s="31"/>
      <c r="AG34" s="31"/>
      <c r="AH34" s="31"/>
      <c r="AI34" s="31"/>
      <c r="AJ34" s="31"/>
      <c r="AK34" s="165">
        <f>ROUNDUP(SUM($AK$26:$AK$32),2)</f>
        <v>0</v>
      </c>
      <c r="AL34" s="157"/>
      <c r="AM34" s="157"/>
      <c r="AN34" s="157"/>
      <c r="AO34" s="159"/>
      <c r="AP34" s="29"/>
      <c r="AQ34" s="21"/>
      <c r="BE34" s="151"/>
    </row>
    <row r="35" spans="2:43" s="6" customFormat="1" ht="15" customHeight="1">
      <c r="B35" s="20"/>
      <c r="AQ35" s="21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0"/>
      <c r="D49" s="33" t="s">
        <v>49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C49" s="33" t="s">
        <v>50</v>
      </c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5"/>
      <c r="AQ49" s="21"/>
    </row>
    <row r="50" spans="2:43" s="2" customFormat="1" ht="14.25" customHeight="1">
      <c r="B50" s="10"/>
      <c r="D50" s="36"/>
      <c r="Z50" s="37"/>
      <c r="AC50" s="36"/>
      <c r="AO50" s="37"/>
      <c r="AQ50" s="11"/>
    </row>
    <row r="51" spans="2:43" s="2" customFormat="1" ht="14.25" customHeight="1">
      <c r="B51" s="10"/>
      <c r="D51" s="36"/>
      <c r="Z51" s="37"/>
      <c r="AC51" s="36"/>
      <c r="AO51" s="37"/>
      <c r="AQ51" s="11"/>
    </row>
    <row r="52" spans="2:43" s="2" customFormat="1" ht="14.25" customHeight="1">
      <c r="B52" s="10"/>
      <c r="D52" s="36"/>
      <c r="Z52" s="37"/>
      <c r="AC52" s="36"/>
      <c r="AO52" s="37"/>
      <c r="AQ52" s="11"/>
    </row>
    <row r="53" spans="2:43" s="2" customFormat="1" ht="14.25" customHeight="1">
      <c r="B53" s="10"/>
      <c r="D53" s="36"/>
      <c r="Z53" s="37"/>
      <c r="AC53" s="36"/>
      <c r="AO53" s="37"/>
      <c r="AQ53" s="11"/>
    </row>
    <row r="54" spans="2:43" s="2" customFormat="1" ht="14.25" customHeight="1">
      <c r="B54" s="10"/>
      <c r="D54" s="36"/>
      <c r="Z54" s="37"/>
      <c r="AC54" s="36"/>
      <c r="AO54" s="37"/>
      <c r="AQ54" s="11"/>
    </row>
    <row r="55" spans="2:43" s="2" customFormat="1" ht="14.25" customHeight="1">
      <c r="B55" s="10"/>
      <c r="D55" s="36"/>
      <c r="Z55" s="37"/>
      <c r="AC55" s="36"/>
      <c r="AO55" s="37"/>
      <c r="AQ55" s="11"/>
    </row>
    <row r="56" spans="2:43" s="2" customFormat="1" ht="14.25" customHeight="1">
      <c r="B56" s="10"/>
      <c r="D56" s="36"/>
      <c r="Z56" s="37"/>
      <c r="AC56" s="36"/>
      <c r="AO56" s="37"/>
      <c r="AQ56" s="11"/>
    </row>
    <row r="57" spans="2:43" s="2" customFormat="1" ht="14.25" customHeight="1">
      <c r="B57" s="10"/>
      <c r="D57" s="36"/>
      <c r="Z57" s="37"/>
      <c r="AC57" s="36"/>
      <c r="AO57" s="37"/>
      <c r="AQ57" s="11"/>
    </row>
    <row r="58" spans="2:43" s="6" customFormat="1" ht="15.75" customHeight="1">
      <c r="B58" s="20"/>
      <c r="D58" s="38" t="s">
        <v>51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40" t="s">
        <v>52</v>
      </c>
      <c r="S58" s="39"/>
      <c r="T58" s="39"/>
      <c r="U58" s="39"/>
      <c r="V58" s="39"/>
      <c r="W58" s="39"/>
      <c r="X58" s="39"/>
      <c r="Y58" s="39"/>
      <c r="Z58" s="41"/>
      <c r="AC58" s="38" t="s">
        <v>51</v>
      </c>
      <c r="AD58" s="39"/>
      <c r="AE58" s="39"/>
      <c r="AF58" s="39"/>
      <c r="AG58" s="39"/>
      <c r="AH58" s="39"/>
      <c r="AI58" s="39"/>
      <c r="AJ58" s="39"/>
      <c r="AK58" s="39"/>
      <c r="AL58" s="39"/>
      <c r="AM58" s="40" t="s">
        <v>52</v>
      </c>
      <c r="AN58" s="39"/>
      <c r="AO58" s="41"/>
      <c r="AQ58" s="21"/>
    </row>
    <row r="59" spans="2:43" s="2" customFormat="1" ht="14.25" customHeight="1">
      <c r="B59" s="10"/>
      <c r="AQ59" s="11"/>
    </row>
    <row r="60" spans="2:43" s="6" customFormat="1" ht="15.75" customHeight="1">
      <c r="B60" s="20"/>
      <c r="D60" s="33" t="s">
        <v>53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5"/>
      <c r="AC60" s="33" t="s">
        <v>54</v>
      </c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5"/>
      <c r="AQ60" s="21"/>
    </row>
    <row r="61" spans="2:43" s="2" customFormat="1" ht="14.25" customHeight="1">
      <c r="B61" s="10"/>
      <c r="D61" s="36"/>
      <c r="Z61" s="37"/>
      <c r="AC61" s="36"/>
      <c r="AO61" s="37"/>
      <c r="AQ61" s="11"/>
    </row>
    <row r="62" spans="2:43" s="2" customFormat="1" ht="14.25" customHeight="1">
      <c r="B62" s="10"/>
      <c r="D62" s="36"/>
      <c r="Z62" s="37"/>
      <c r="AC62" s="36"/>
      <c r="AO62" s="37"/>
      <c r="AQ62" s="11"/>
    </row>
    <row r="63" spans="2:43" s="2" customFormat="1" ht="14.25" customHeight="1">
      <c r="B63" s="10"/>
      <c r="D63" s="36"/>
      <c r="Z63" s="37"/>
      <c r="AC63" s="36"/>
      <c r="AO63" s="37"/>
      <c r="AQ63" s="11"/>
    </row>
    <row r="64" spans="2:43" s="2" customFormat="1" ht="14.25" customHeight="1">
      <c r="B64" s="10"/>
      <c r="D64" s="36"/>
      <c r="Z64" s="37"/>
      <c r="AC64" s="36"/>
      <c r="AO64" s="37"/>
      <c r="AQ64" s="11"/>
    </row>
    <row r="65" spans="2:43" s="2" customFormat="1" ht="14.25" customHeight="1">
      <c r="B65" s="10"/>
      <c r="D65" s="36"/>
      <c r="Z65" s="37"/>
      <c r="AC65" s="36"/>
      <c r="AO65" s="37"/>
      <c r="AQ65" s="11"/>
    </row>
    <row r="66" spans="2:43" s="2" customFormat="1" ht="14.25" customHeight="1">
      <c r="B66" s="10"/>
      <c r="D66" s="36"/>
      <c r="Z66" s="37"/>
      <c r="AC66" s="36"/>
      <c r="AO66" s="37"/>
      <c r="AQ66" s="11"/>
    </row>
    <row r="67" spans="2:43" s="2" customFormat="1" ht="14.25" customHeight="1">
      <c r="B67" s="10"/>
      <c r="D67" s="36"/>
      <c r="Z67" s="37"/>
      <c r="AC67" s="36"/>
      <c r="AO67" s="37"/>
      <c r="AQ67" s="11"/>
    </row>
    <row r="68" spans="2:43" s="2" customFormat="1" ht="14.25" customHeight="1">
      <c r="B68" s="10"/>
      <c r="D68" s="36"/>
      <c r="Z68" s="37"/>
      <c r="AC68" s="36"/>
      <c r="AO68" s="37"/>
      <c r="AQ68" s="11"/>
    </row>
    <row r="69" spans="2:43" s="6" customFormat="1" ht="15.75" customHeight="1">
      <c r="B69" s="20"/>
      <c r="D69" s="38" t="s">
        <v>51</v>
      </c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40" t="s">
        <v>52</v>
      </c>
      <c r="S69" s="39"/>
      <c r="T69" s="39"/>
      <c r="U69" s="39"/>
      <c r="V69" s="39"/>
      <c r="W69" s="39"/>
      <c r="X69" s="39"/>
      <c r="Y69" s="39"/>
      <c r="Z69" s="41"/>
      <c r="AC69" s="38" t="s">
        <v>51</v>
      </c>
      <c r="AD69" s="39"/>
      <c r="AE69" s="39"/>
      <c r="AF69" s="39"/>
      <c r="AG69" s="39"/>
      <c r="AH69" s="39"/>
      <c r="AI69" s="39"/>
      <c r="AJ69" s="39"/>
      <c r="AK69" s="39"/>
      <c r="AL69" s="39"/>
      <c r="AM69" s="40" t="s">
        <v>52</v>
      </c>
      <c r="AN69" s="39"/>
      <c r="AO69" s="41"/>
      <c r="AQ69" s="21"/>
    </row>
    <row r="70" spans="2:43" s="6" customFormat="1" ht="7.5" customHeight="1">
      <c r="B70" s="20"/>
      <c r="AQ70" s="21"/>
    </row>
    <row r="71" spans="2:43" s="6" customFormat="1" ht="7.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4"/>
    </row>
    <row r="75" spans="2:43" s="6" customFormat="1" ht="7.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7"/>
    </row>
    <row r="76" spans="2:43" s="6" customFormat="1" ht="37.5" customHeight="1">
      <c r="B76" s="20"/>
      <c r="C76" s="166" t="s">
        <v>55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21"/>
    </row>
    <row r="77" spans="2:43" s="6" customFormat="1" ht="7.5" customHeight="1">
      <c r="B77" s="20"/>
      <c r="AQ77" s="21"/>
    </row>
    <row r="78" spans="2:43" s="14" customFormat="1" ht="27" customHeight="1">
      <c r="B78" s="48"/>
      <c r="C78" s="14" t="s">
        <v>14</v>
      </c>
      <c r="L78" s="167" t="str">
        <f>$K$6</f>
        <v>2013-ksi-04 - Oprava opěrné zdi nad MŠ, na parc.č.1814, Jízdárenská ul., K. Vary</v>
      </c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Q78" s="49"/>
    </row>
    <row r="79" spans="2:43" s="6" customFormat="1" ht="7.5" customHeight="1">
      <c r="B79" s="20"/>
      <c r="AQ79" s="21"/>
    </row>
    <row r="80" spans="2:43" s="6" customFormat="1" ht="15.75" customHeight="1">
      <c r="B80" s="20"/>
      <c r="C80" s="15" t="s">
        <v>18</v>
      </c>
      <c r="L80" s="50" t="str">
        <f>IF($K$8="","",$K$8)</f>
        <v>Karlovy Vary</v>
      </c>
      <c r="AI80" s="15" t="s">
        <v>20</v>
      </c>
      <c r="AM80" s="51"/>
      <c r="AN80" s="210">
        <v>41248</v>
      </c>
      <c r="AQ80" s="21"/>
    </row>
    <row r="81" spans="2:43" s="6" customFormat="1" ht="7.5" customHeight="1">
      <c r="B81" s="20"/>
      <c r="AQ81" s="21"/>
    </row>
    <row r="82" spans="2:56" s="6" customFormat="1" ht="18.75" customHeight="1">
      <c r="B82" s="20"/>
      <c r="C82" s="15" t="s">
        <v>23</v>
      </c>
      <c r="L82" s="16" t="str">
        <f>IF($E$11="","",$E$11)</f>
        <v>Statutární město Karlovy Vary</v>
      </c>
      <c r="AI82" s="15" t="s">
        <v>29</v>
      </c>
      <c r="AM82" s="168" t="str">
        <f>IF($E$17="","",$E$17)</f>
        <v>Kancelář stavebního inženýrství s.r.o.</v>
      </c>
      <c r="AN82" s="151"/>
      <c r="AO82" s="151"/>
      <c r="AP82" s="151"/>
      <c r="AQ82" s="21"/>
      <c r="AS82" s="169" t="s">
        <v>56</v>
      </c>
      <c r="AT82" s="170"/>
      <c r="AU82" s="34"/>
      <c r="AV82" s="34"/>
      <c r="AW82" s="34"/>
      <c r="AX82" s="34"/>
      <c r="AY82" s="34"/>
      <c r="AZ82" s="34"/>
      <c r="BA82" s="34"/>
      <c r="BB82" s="34"/>
      <c r="BC82" s="34"/>
      <c r="BD82" s="35"/>
    </row>
    <row r="83" spans="2:56" s="6" customFormat="1" ht="15.75" customHeight="1">
      <c r="B83" s="20"/>
      <c r="C83" s="15" t="s">
        <v>27</v>
      </c>
      <c r="L83" s="16">
        <f>IF($E$14="Vyplň údaj","",$E$14)</f>
      </c>
      <c r="AI83" s="15" t="s">
        <v>34</v>
      </c>
      <c r="AM83" s="168" t="str">
        <f>IF($E$20="","",$E$20)</f>
        <v>D. Kryštovová</v>
      </c>
      <c r="AN83" s="151"/>
      <c r="AO83" s="151"/>
      <c r="AP83" s="151"/>
      <c r="AQ83" s="21"/>
      <c r="AS83" s="171"/>
      <c r="AT83" s="151"/>
      <c r="BD83" s="53"/>
    </row>
    <row r="84" spans="2:56" s="6" customFormat="1" ht="12" customHeight="1">
      <c r="B84" s="20"/>
      <c r="AQ84" s="21"/>
      <c r="AS84" s="171"/>
      <c r="AT84" s="151"/>
      <c r="BD84" s="53"/>
    </row>
    <row r="85" spans="2:57" s="6" customFormat="1" ht="30" customHeight="1">
      <c r="B85" s="20"/>
      <c r="C85" s="156" t="s">
        <v>57</v>
      </c>
      <c r="D85" s="157"/>
      <c r="E85" s="157"/>
      <c r="F85" s="157"/>
      <c r="G85" s="157"/>
      <c r="H85" s="31"/>
      <c r="I85" s="158" t="s">
        <v>58</v>
      </c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8" t="s">
        <v>59</v>
      </c>
      <c r="AH85" s="157"/>
      <c r="AI85" s="157"/>
      <c r="AJ85" s="157"/>
      <c r="AK85" s="157"/>
      <c r="AL85" s="157"/>
      <c r="AM85" s="157"/>
      <c r="AN85" s="158" t="s">
        <v>60</v>
      </c>
      <c r="AO85" s="157"/>
      <c r="AP85" s="159"/>
      <c r="AQ85" s="21"/>
      <c r="AS85" s="54" t="s">
        <v>61</v>
      </c>
      <c r="AT85" s="55" t="s">
        <v>62</v>
      </c>
      <c r="AU85" s="55" t="s">
        <v>63</v>
      </c>
      <c r="AV85" s="55" t="s">
        <v>64</v>
      </c>
      <c r="AW85" s="55" t="s">
        <v>65</v>
      </c>
      <c r="AX85" s="55" t="s">
        <v>66</v>
      </c>
      <c r="AY85" s="55" t="s">
        <v>67</v>
      </c>
      <c r="AZ85" s="55" t="s">
        <v>68</v>
      </c>
      <c r="BA85" s="55" t="s">
        <v>69</v>
      </c>
      <c r="BB85" s="55" t="s">
        <v>70</v>
      </c>
      <c r="BC85" s="55" t="s">
        <v>71</v>
      </c>
      <c r="BD85" s="56" t="s">
        <v>72</v>
      </c>
      <c r="BE85" s="57"/>
    </row>
    <row r="86" spans="2:56" s="6" customFormat="1" ht="12" customHeight="1">
      <c r="B86" s="20"/>
      <c r="AQ86" s="21"/>
      <c r="AS86" s="58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5"/>
    </row>
    <row r="87" spans="2:76" s="14" customFormat="1" ht="33" customHeight="1">
      <c r="B87" s="48"/>
      <c r="C87" s="59" t="s">
        <v>73</v>
      </c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154">
        <f>ROUNDUP($AG$88,2)</f>
        <v>0</v>
      </c>
      <c r="AH87" s="155"/>
      <c r="AI87" s="155"/>
      <c r="AJ87" s="155"/>
      <c r="AK87" s="155"/>
      <c r="AL87" s="155"/>
      <c r="AM87" s="155"/>
      <c r="AN87" s="154">
        <f>ROUNDUP(SUM($AG$87,$AT$87),2)</f>
        <v>0</v>
      </c>
      <c r="AO87" s="155"/>
      <c r="AP87" s="155"/>
      <c r="AQ87" s="49"/>
      <c r="AS87" s="60">
        <f>ROUNDUP($AS$88,2)</f>
        <v>0</v>
      </c>
      <c r="AT87" s="61">
        <f>ROUNDUP(SUM($AV$87:$AW$87),1)</f>
        <v>0</v>
      </c>
      <c r="AU87" s="62">
        <f>ROUNDUP($AU$88,5)</f>
        <v>1728.14181</v>
      </c>
      <c r="AV87" s="61">
        <f>ROUNDUP($AZ$87*$L$28,2)</f>
        <v>0</v>
      </c>
      <c r="AW87" s="61">
        <f>ROUNDUP($BA$87*$L$29,2)</f>
        <v>0</v>
      </c>
      <c r="AX87" s="61">
        <f>ROUNDUP($BB$87*$L$28,2)</f>
        <v>0</v>
      </c>
      <c r="AY87" s="61">
        <f>ROUNDUP($BC$87*$L$29,2)</f>
        <v>0</v>
      </c>
      <c r="AZ87" s="61">
        <f>ROUNDUP($AZ$88,2)</f>
        <v>0</v>
      </c>
      <c r="BA87" s="61">
        <f>ROUNDUP($BA$88,2)</f>
        <v>0</v>
      </c>
      <c r="BB87" s="61">
        <f>ROUNDUP($BB$88,2)</f>
        <v>0</v>
      </c>
      <c r="BC87" s="61">
        <f>ROUNDUP($BC$88,2)</f>
        <v>0</v>
      </c>
      <c r="BD87" s="63">
        <f>ROUNDUP($BD$88,2)</f>
        <v>0</v>
      </c>
      <c r="BS87" s="14" t="s">
        <v>74</v>
      </c>
      <c r="BT87" s="14" t="s">
        <v>75</v>
      </c>
      <c r="BV87" s="14" t="s">
        <v>76</v>
      </c>
      <c r="BW87" s="14" t="s">
        <v>77</v>
      </c>
      <c r="BX87" s="14" t="s">
        <v>78</v>
      </c>
    </row>
    <row r="88" spans="1:76" s="64" customFormat="1" ht="28.5" customHeight="1">
      <c r="A88" s="140" t="s">
        <v>347</v>
      </c>
      <c r="B88" s="65"/>
      <c r="C88" s="66"/>
      <c r="D88" s="162" t="s">
        <v>79</v>
      </c>
      <c r="E88" s="163"/>
      <c r="F88" s="163"/>
      <c r="G88" s="163"/>
      <c r="H88" s="163"/>
      <c r="I88" s="66"/>
      <c r="J88" s="162" t="s">
        <v>80</v>
      </c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0">
        <f>'2013-ksi-04 - Oprava opěr...'!$M$26</f>
        <v>0</v>
      </c>
      <c r="AH88" s="161"/>
      <c r="AI88" s="161"/>
      <c r="AJ88" s="161"/>
      <c r="AK88" s="161"/>
      <c r="AL88" s="161"/>
      <c r="AM88" s="161"/>
      <c r="AN88" s="160">
        <f>ROUNDUP(SUM($AG$88,$AT$88),2)</f>
        <v>0</v>
      </c>
      <c r="AO88" s="161"/>
      <c r="AP88" s="161"/>
      <c r="AQ88" s="67"/>
      <c r="AS88" s="68">
        <f>'2013-ksi-04 - Oprava opěr...'!$M$24</f>
        <v>0</v>
      </c>
      <c r="AT88" s="69">
        <f>ROUNDUP(SUM($AV$88:$AW$88),1)</f>
        <v>0</v>
      </c>
      <c r="AU88" s="70">
        <f>'2013-ksi-04 - Oprava opěr...'!$W$123</f>
        <v>1728.141803</v>
      </c>
      <c r="AV88" s="69">
        <f>'2013-ksi-04 - Oprava opěr...'!$M$28</f>
        <v>0</v>
      </c>
      <c r="AW88" s="69">
        <f>'2013-ksi-04 - Oprava opěr...'!$M$29</f>
        <v>0</v>
      </c>
      <c r="AX88" s="69">
        <f>'2013-ksi-04 - Oprava opěr...'!$M$30</f>
        <v>0</v>
      </c>
      <c r="AY88" s="69">
        <f>'2013-ksi-04 - Oprava opěr...'!$M$31</f>
        <v>0</v>
      </c>
      <c r="AZ88" s="69">
        <f>'2013-ksi-04 - Oprava opěr...'!$H$28</f>
        <v>0</v>
      </c>
      <c r="BA88" s="69">
        <f>'2013-ksi-04 - Oprava opěr...'!$H$29</f>
        <v>0</v>
      </c>
      <c r="BB88" s="69">
        <f>'2013-ksi-04 - Oprava opěr...'!$H$30</f>
        <v>0</v>
      </c>
      <c r="BC88" s="69">
        <f>'2013-ksi-04 - Oprava opěr...'!$H$31</f>
        <v>0</v>
      </c>
      <c r="BD88" s="71">
        <f>'2013-ksi-04 - Oprava opěr...'!$H$32</f>
        <v>0</v>
      </c>
      <c r="BT88" s="64" t="s">
        <v>17</v>
      </c>
      <c r="BU88" s="64" t="s">
        <v>81</v>
      </c>
      <c r="BV88" s="64" t="s">
        <v>76</v>
      </c>
      <c r="BW88" s="64" t="s">
        <v>77</v>
      </c>
      <c r="BX88" s="64" t="s">
        <v>78</v>
      </c>
    </row>
    <row r="89" spans="2:43" s="2" customFormat="1" ht="14.25" customHeight="1">
      <c r="B89" s="10"/>
      <c r="AQ89" s="11"/>
    </row>
    <row r="90" spans="2:49" s="6" customFormat="1" ht="30.75" customHeight="1">
      <c r="B90" s="20"/>
      <c r="C90" s="59" t="s">
        <v>82</v>
      </c>
      <c r="AG90" s="154">
        <f>ROUNDUP(SUM($AG$91:$AG$103),2)</f>
        <v>0</v>
      </c>
      <c r="AH90" s="151"/>
      <c r="AI90" s="151"/>
      <c r="AJ90" s="151"/>
      <c r="AK90" s="151"/>
      <c r="AL90" s="151"/>
      <c r="AM90" s="151"/>
      <c r="AN90" s="154">
        <f>ROUNDUP(SUM($AN$91:$AN$103),2)</f>
        <v>0</v>
      </c>
      <c r="AO90" s="151"/>
      <c r="AP90" s="151"/>
      <c r="AQ90" s="21"/>
      <c r="AS90" s="54" t="s">
        <v>83</v>
      </c>
      <c r="AT90" s="55" t="s">
        <v>84</v>
      </c>
      <c r="AU90" s="55" t="s">
        <v>39</v>
      </c>
      <c r="AV90" s="56" t="s">
        <v>62</v>
      </c>
      <c r="AW90" s="57"/>
    </row>
    <row r="91" spans="2:89" s="6" customFormat="1" ht="21" customHeight="1">
      <c r="B91" s="20"/>
      <c r="D91" s="72" t="s">
        <v>85</v>
      </c>
      <c r="AG91" s="152">
        <f>ROUNDUP($AG$87*$AS$91,2)</f>
        <v>0</v>
      </c>
      <c r="AH91" s="151"/>
      <c r="AI91" s="151"/>
      <c r="AJ91" s="151"/>
      <c r="AK91" s="151"/>
      <c r="AL91" s="151"/>
      <c r="AM91" s="151"/>
      <c r="AN91" s="153">
        <f>ROUNDUP($AG$91+$AV$91,2)</f>
        <v>0</v>
      </c>
      <c r="AO91" s="151"/>
      <c r="AP91" s="151"/>
      <c r="AQ91" s="21"/>
      <c r="AS91" s="73">
        <v>0</v>
      </c>
      <c r="AT91" s="74" t="s">
        <v>86</v>
      </c>
      <c r="AU91" s="74" t="s">
        <v>40</v>
      </c>
      <c r="AV91" s="75">
        <f>ROUNDUP(IF($AU$91="základní",$AG$91*$L$28,IF($AU$91="snížená",$AG$91*$L$29,0)),2)</f>
        <v>0</v>
      </c>
      <c r="BV91" s="6" t="s">
        <v>87</v>
      </c>
      <c r="BY91" s="76">
        <f>IF($AU$91="základní",$AV$91,0)</f>
        <v>0</v>
      </c>
      <c r="BZ91" s="76">
        <f>IF($AU$91="snížená",$AV$91,0)</f>
        <v>0</v>
      </c>
      <c r="CA91" s="76">
        <v>0</v>
      </c>
      <c r="CB91" s="76">
        <v>0</v>
      </c>
      <c r="CC91" s="76">
        <v>0</v>
      </c>
      <c r="CD91" s="76">
        <f>IF($AU$91="základní",$AG$91,0)</f>
        <v>0</v>
      </c>
      <c r="CE91" s="76">
        <f>IF($AU$91="snížená",$AG$91,0)</f>
        <v>0</v>
      </c>
      <c r="CF91" s="76">
        <f>IF($AU$91="zákl. přenesená",$AG$91,0)</f>
        <v>0</v>
      </c>
      <c r="CG91" s="76">
        <f>IF($AU$91="sníž. přenesená",$AG$91,0)</f>
        <v>0</v>
      </c>
      <c r="CH91" s="76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0"/>
      <c r="D92" s="72" t="s">
        <v>88</v>
      </c>
      <c r="AG92" s="152">
        <f>ROUNDUP($AG$87*$AS$92,2)</f>
        <v>0</v>
      </c>
      <c r="AH92" s="151"/>
      <c r="AI92" s="151"/>
      <c r="AJ92" s="151"/>
      <c r="AK92" s="151"/>
      <c r="AL92" s="151"/>
      <c r="AM92" s="151"/>
      <c r="AN92" s="153">
        <f>ROUNDUP($AG$92+$AV$92,2)</f>
        <v>0</v>
      </c>
      <c r="AO92" s="151"/>
      <c r="AP92" s="151"/>
      <c r="AQ92" s="21"/>
      <c r="AS92" s="77">
        <v>0</v>
      </c>
      <c r="AT92" s="78" t="s">
        <v>86</v>
      </c>
      <c r="AU92" s="78" t="s">
        <v>40</v>
      </c>
      <c r="AV92" s="79">
        <f>ROUNDUP(IF($AU$92="základní",$AG$92*$L$28,IF($AU$92="snížená",$AG$92*$L$29,0)),2)</f>
        <v>0</v>
      </c>
      <c r="BV92" s="6" t="s">
        <v>87</v>
      </c>
      <c r="BY92" s="76">
        <f>IF($AU$92="základní",$AV$92,0)</f>
        <v>0</v>
      </c>
      <c r="BZ92" s="76">
        <f>IF($AU$92="snížená",$AV$92,0)</f>
        <v>0</v>
      </c>
      <c r="CA92" s="76">
        <v>0</v>
      </c>
      <c r="CB92" s="76">
        <v>0</v>
      </c>
      <c r="CC92" s="76">
        <v>0</v>
      </c>
      <c r="CD92" s="76">
        <f>IF($AU$92="základní",$AG$92,0)</f>
        <v>0</v>
      </c>
      <c r="CE92" s="76">
        <f>IF($AU$92="snížená",$AG$92,0)</f>
        <v>0</v>
      </c>
      <c r="CF92" s="76">
        <f>IF($AU$92="zákl. přenesená",$AG$92,0)</f>
        <v>0</v>
      </c>
      <c r="CG92" s="76">
        <f>IF($AU$92="sníž. přenesená",$AG$92,0)</f>
        <v>0</v>
      </c>
      <c r="CH92" s="76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 t="str">
        <f>IF($D$92="Vyplň vlastní","","x")</f>
        <v>x</v>
      </c>
    </row>
    <row r="93" spans="2:89" s="6" customFormat="1" ht="21" customHeight="1">
      <c r="B93" s="20"/>
      <c r="D93" s="72" t="s">
        <v>89</v>
      </c>
      <c r="AG93" s="152">
        <f>ROUNDUP($AG$87*$AS$93,2)</f>
        <v>0</v>
      </c>
      <c r="AH93" s="151"/>
      <c r="AI93" s="151"/>
      <c r="AJ93" s="151"/>
      <c r="AK93" s="151"/>
      <c r="AL93" s="151"/>
      <c r="AM93" s="151"/>
      <c r="AN93" s="153">
        <f>ROUNDUP($AG$93+$AV$93,2)</f>
        <v>0</v>
      </c>
      <c r="AO93" s="151"/>
      <c r="AP93" s="151"/>
      <c r="AQ93" s="21"/>
      <c r="AS93" s="77">
        <v>0</v>
      </c>
      <c r="AT93" s="78" t="s">
        <v>86</v>
      </c>
      <c r="AU93" s="78" t="s">
        <v>40</v>
      </c>
      <c r="AV93" s="79">
        <f>ROUNDUP(IF($AU$93="základní",$AG$93*$L$28,IF($AU$93="snížená",$AG$93*$L$29,0)),2)</f>
        <v>0</v>
      </c>
      <c r="BV93" s="6" t="s">
        <v>87</v>
      </c>
      <c r="BY93" s="76">
        <f>IF($AU$93="základní",$AV$93,0)</f>
        <v>0</v>
      </c>
      <c r="BZ93" s="76">
        <f>IF($AU$93="snížená",$AV$93,0)</f>
        <v>0</v>
      </c>
      <c r="CA93" s="76">
        <v>0</v>
      </c>
      <c r="CB93" s="76">
        <v>0</v>
      </c>
      <c r="CC93" s="76">
        <v>0</v>
      </c>
      <c r="CD93" s="76">
        <f>IF($AU$93="základní",$AG$93,0)</f>
        <v>0</v>
      </c>
      <c r="CE93" s="76">
        <f>IF($AU$93="snížená",$AG$93,0)</f>
        <v>0</v>
      </c>
      <c r="CF93" s="76">
        <f>IF($AU$93="zákl. přenesená",$AG$93,0)</f>
        <v>0</v>
      </c>
      <c r="CG93" s="76">
        <f>IF($AU$93="sníž. přenesená",$AG$93,0)</f>
        <v>0</v>
      </c>
      <c r="CH93" s="76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 t="str">
        <f>IF($D$93="Vyplň vlastní","","x")</f>
        <v>x</v>
      </c>
    </row>
    <row r="94" spans="2:89" s="6" customFormat="1" ht="21" customHeight="1">
      <c r="B94" s="20"/>
      <c r="D94" s="72" t="s">
        <v>90</v>
      </c>
      <c r="AG94" s="152">
        <f>ROUNDUP($AG$87*$AS$94,2)</f>
        <v>0</v>
      </c>
      <c r="AH94" s="151"/>
      <c r="AI94" s="151"/>
      <c r="AJ94" s="151"/>
      <c r="AK94" s="151"/>
      <c r="AL94" s="151"/>
      <c r="AM94" s="151"/>
      <c r="AN94" s="153">
        <f>ROUNDUP($AG$94+$AV$94,2)</f>
        <v>0</v>
      </c>
      <c r="AO94" s="151"/>
      <c r="AP94" s="151"/>
      <c r="AQ94" s="21"/>
      <c r="AS94" s="77">
        <v>0</v>
      </c>
      <c r="AT94" s="78" t="s">
        <v>86</v>
      </c>
      <c r="AU94" s="78" t="s">
        <v>40</v>
      </c>
      <c r="AV94" s="79">
        <f>ROUNDUP(IF($AU$94="základní",$AG$94*$L$28,IF($AU$94="snížená",$AG$94*$L$29,0)),2)</f>
        <v>0</v>
      </c>
      <c r="BV94" s="6" t="s">
        <v>87</v>
      </c>
      <c r="BY94" s="76">
        <f>IF($AU$94="základní",$AV$94,0)</f>
        <v>0</v>
      </c>
      <c r="BZ94" s="76">
        <f>IF($AU$94="snížená",$AV$94,0)</f>
        <v>0</v>
      </c>
      <c r="CA94" s="76">
        <v>0</v>
      </c>
      <c r="CB94" s="76">
        <v>0</v>
      </c>
      <c r="CC94" s="76">
        <v>0</v>
      </c>
      <c r="CD94" s="76">
        <f>IF($AU$94="základní",$AG$94,0)</f>
        <v>0</v>
      </c>
      <c r="CE94" s="76">
        <f>IF($AU$94="snížená",$AG$94,0)</f>
        <v>0</v>
      </c>
      <c r="CF94" s="76">
        <f>IF($AU$94="zákl. přenesená",$AG$94,0)</f>
        <v>0</v>
      </c>
      <c r="CG94" s="76">
        <f>IF($AU$94="sníž. přenesená",$AG$94,0)</f>
        <v>0</v>
      </c>
      <c r="CH94" s="76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0"/>
      <c r="D95" s="72" t="s">
        <v>91</v>
      </c>
      <c r="AG95" s="152">
        <f>ROUNDUP($AG$87*$AS$95,2)</f>
        <v>0</v>
      </c>
      <c r="AH95" s="151"/>
      <c r="AI95" s="151"/>
      <c r="AJ95" s="151"/>
      <c r="AK95" s="151"/>
      <c r="AL95" s="151"/>
      <c r="AM95" s="151"/>
      <c r="AN95" s="153">
        <f>ROUNDUP($AG$95+$AV$95,2)</f>
        <v>0</v>
      </c>
      <c r="AO95" s="151"/>
      <c r="AP95" s="151"/>
      <c r="AQ95" s="21"/>
      <c r="AS95" s="77">
        <v>0</v>
      </c>
      <c r="AT95" s="78" t="s">
        <v>86</v>
      </c>
      <c r="AU95" s="78" t="s">
        <v>40</v>
      </c>
      <c r="AV95" s="79">
        <f>ROUNDUP(IF($AU$95="základní",$AG$95*$L$28,IF($AU$95="snížená",$AG$95*$L$29,0)),2)</f>
        <v>0</v>
      </c>
      <c r="BV95" s="6" t="s">
        <v>87</v>
      </c>
      <c r="BY95" s="76">
        <f>IF($AU$95="základní",$AV$95,0)</f>
        <v>0</v>
      </c>
      <c r="BZ95" s="76">
        <f>IF($AU$95="snížená",$AV$95,0)</f>
        <v>0</v>
      </c>
      <c r="CA95" s="76">
        <v>0</v>
      </c>
      <c r="CB95" s="76">
        <v>0</v>
      </c>
      <c r="CC95" s="76">
        <v>0</v>
      </c>
      <c r="CD95" s="76">
        <f>IF($AU$95="základní",$AG$95,0)</f>
        <v>0</v>
      </c>
      <c r="CE95" s="76">
        <f>IF($AU$95="snížená",$AG$95,0)</f>
        <v>0</v>
      </c>
      <c r="CF95" s="76">
        <f>IF($AU$95="zákl. přenesená",$AG$95,0)</f>
        <v>0</v>
      </c>
      <c r="CG95" s="76">
        <f>IF($AU$95="sníž. přenesená",$AG$95,0)</f>
        <v>0</v>
      </c>
      <c r="CH95" s="76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1" customHeight="1">
      <c r="B96" s="20"/>
      <c r="D96" s="72" t="s">
        <v>92</v>
      </c>
      <c r="AG96" s="152">
        <f>ROUNDUP($AG$87*$AS$96,2)</f>
        <v>0</v>
      </c>
      <c r="AH96" s="151"/>
      <c r="AI96" s="151"/>
      <c r="AJ96" s="151"/>
      <c r="AK96" s="151"/>
      <c r="AL96" s="151"/>
      <c r="AM96" s="151"/>
      <c r="AN96" s="153">
        <f>ROUNDUP($AG$96+$AV$96,2)</f>
        <v>0</v>
      </c>
      <c r="AO96" s="151"/>
      <c r="AP96" s="151"/>
      <c r="AQ96" s="21"/>
      <c r="AS96" s="77">
        <v>0</v>
      </c>
      <c r="AT96" s="78" t="s">
        <v>86</v>
      </c>
      <c r="AU96" s="78" t="s">
        <v>40</v>
      </c>
      <c r="AV96" s="79">
        <f>ROUNDUP(IF($AU$96="základní",$AG$96*$L$28,IF($AU$96="snížená",$AG$96*$L$29,0)),2)</f>
        <v>0</v>
      </c>
      <c r="BV96" s="6" t="s">
        <v>87</v>
      </c>
      <c r="BY96" s="76">
        <f>IF($AU$96="základní",$AV$96,0)</f>
        <v>0</v>
      </c>
      <c r="BZ96" s="76">
        <f>IF($AU$96="snížená",$AV$96,0)</f>
        <v>0</v>
      </c>
      <c r="CA96" s="76">
        <v>0</v>
      </c>
      <c r="CB96" s="76">
        <v>0</v>
      </c>
      <c r="CC96" s="76">
        <v>0</v>
      </c>
      <c r="CD96" s="76">
        <f>IF($AU$96="základní",$AG$96,0)</f>
        <v>0</v>
      </c>
      <c r="CE96" s="76">
        <f>IF($AU$96="snížená",$AG$96,0)</f>
        <v>0</v>
      </c>
      <c r="CF96" s="76">
        <f>IF($AU$96="zákl. přenesená",$AG$96,0)</f>
        <v>0</v>
      </c>
      <c r="CG96" s="76">
        <f>IF($AU$96="sníž. přenesená",$AG$96,0)</f>
        <v>0</v>
      </c>
      <c r="CH96" s="76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 t="str">
        <f>IF($D$96="Vyplň vlastní","","x")</f>
        <v>x</v>
      </c>
    </row>
    <row r="97" spans="2:89" s="6" customFormat="1" ht="21" customHeight="1">
      <c r="B97" s="20"/>
      <c r="D97" s="72" t="s">
        <v>93</v>
      </c>
      <c r="AG97" s="152">
        <f>ROUNDUP($AG$87*$AS$97,2)</f>
        <v>0</v>
      </c>
      <c r="AH97" s="151"/>
      <c r="AI97" s="151"/>
      <c r="AJ97" s="151"/>
      <c r="AK97" s="151"/>
      <c r="AL97" s="151"/>
      <c r="AM97" s="151"/>
      <c r="AN97" s="153">
        <f>ROUNDUP($AG$97+$AV$97,2)</f>
        <v>0</v>
      </c>
      <c r="AO97" s="151"/>
      <c r="AP97" s="151"/>
      <c r="AQ97" s="21"/>
      <c r="AS97" s="77">
        <v>0</v>
      </c>
      <c r="AT97" s="78" t="s">
        <v>86</v>
      </c>
      <c r="AU97" s="78" t="s">
        <v>40</v>
      </c>
      <c r="AV97" s="79">
        <f>ROUNDUP(IF($AU$97="základní",$AG$97*$L$28,IF($AU$97="snížená",$AG$97*$L$29,0)),2)</f>
        <v>0</v>
      </c>
      <c r="BV97" s="6" t="s">
        <v>87</v>
      </c>
      <c r="BY97" s="76">
        <f>IF($AU$97="základní",$AV$97,0)</f>
        <v>0</v>
      </c>
      <c r="BZ97" s="76">
        <f>IF($AU$97="snížená",$AV$97,0)</f>
        <v>0</v>
      </c>
      <c r="CA97" s="76">
        <v>0</v>
      </c>
      <c r="CB97" s="76">
        <v>0</v>
      </c>
      <c r="CC97" s="76">
        <v>0</v>
      </c>
      <c r="CD97" s="76">
        <f>IF($AU$97="základní",$AG$97,0)</f>
        <v>0</v>
      </c>
      <c r="CE97" s="76">
        <f>IF($AU$97="snížená",$AG$97,0)</f>
        <v>0</v>
      </c>
      <c r="CF97" s="76">
        <f>IF($AU$97="zákl. přenesená",$AG$97,0)</f>
        <v>0</v>
      </c>
      <c r="CG97" s="76">
        <f>IF($AU$97="sníž. přenesená",$AG$97,0)</f>
        <v>0</v>
      </c>
      <c r="CH97" s="76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 t="str">
        <f>IF($D$97="Vyplň vlastní","","x")</f>
        <v>x</v>
      </c>
    </row>
    <row r="98" spans="2:89" s="6" customFormat="1" ht="21" customHeight="1">
      <c r="B98" s="20"/>
      <c r="D98" s="72" t="s">
        <v>94</v>
      </c>
      <c r="AG98" s="152">
        <f>ROUNDUP($AG$87*$AS$98,2)</f>
        <v>0</v>
      </c>
      <c r="AH98" s="151"/>
      <c r="AI98" s="151"/>
      <c r="AJ98" s="151"/>
      <c r="AK98" s="151"/>
      <c r="AL98" s="151"/>
      <c r="AM98" s="151"/>
      <c r="AN98" s="153">
        <f>ROUNDUP($AG$98+$AV$98,2)</f>
        <v>0</v>
      </c>
      <c r="AO98" s="151"/>
      <c r="AP98" s="151"/>
      <c r="AQ98" s="21"/>
      <c r="AS98" s="77">
        <v>0</v>
      </c>
      <c r="AT98" s="78" t="s">
        <v>86</v>
      </c>
      <c r="AU98" s="78" t="s">
        <v>40</v>
      </c>
      <c r="AV98" s="79">
        <f>ROUNDUP(IF($AU$98="základní",$AG$98*$L$28,IF($AU$98="snížená",$AG$98*$L$29,0)),2)</f>
        <v>0</v>
      </c>
      <c r="BV98" s="6" t="s">
        <v>87</v>
      </c>
      <c r="BY98" s="76">
        <f>IF($AU$98="základní",$AV$98,0)</f>
        <v>0</v>
      </c>
      <c r="BZ98" s="76">
        <f>IF($AU$98="snížená",$AV$98,0)</f>
        <v>0</v>
      </c>
      <c r="CA98" s="76">
        <v>0</v>
      </c>
      <c r="CB98" s="76">
        <v>0</v>
      </c>
      <c r="CC98" s="76">
        <v>0</v>
      </c>
      <c r="CD98" s="76">
        <f>IF($AU$98="základní",$AG$98,0)</f>
        <v>0</v>
      </c>
      <c r="CE98" s="76">
        <f>IF($AU$98="snížená",$AG$98,0)</f>
        <v>0</v>
      </c>
      <c r="CF98" s="76">
        <f>IF($AU$98="zákl. přenesená",$AG$98,0)</f>
        <v>0</v>
      </c>
      <c r="CG98" s="76">
        <f>IF($AU$98="sníž. přenesená",$AG$98,0)</f>
        <v>0</v>
      </c>
      <c r="CH98" s="76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0"/>
      <c r="D99" s="72" t="s">
        <v>95</v>
      </c>
      <c r="AG99" s="152">
        <f>ROUNDUP($AG$87*$AS$99,2)</f>
        <v>0</v>
      </c>
      <c r="AH99" s="151"/>
      <c r="AI99" s="151"/>
      <c r="AJ99" s="151"/>
      <c r="AK99" s="151"/>
      <c r="AL99" s="151"/>
      <c r="AM99" s="151"/>
      <c r="AN99" s="153">
        <f>ROUNDUP($AG$99+$AV$99,2)</f>
        <v>0</v>
      </c>
      <c r="AO99" s="151"/>
      <c r="AP99" s="151"/>
      <c r="AQ99" s="21"/>
      <c r="AS99" s="77">
        <v>0</v>
      </c>
      <c r="AT99" s="78" t="s">
        <v>86</v>
      </c>
      <c r="AU99" s="78" t="s">
        <v>40</v>
      </c>
      <c r="AV99" s="79">
        <f>ROUNDUP(IF($AU$99="základní",$AG$99*$L$28,IF($AU$99="snížená",$AG$99*$L$29,0)),2)</f>
        <v>0</v>
      </c>
      <c r="BV99" s="6" t="s">
        <v>87</v>
      </c>
      <c r="BY99" s="76">
        <f>IF($AU$99="základní",$AV$99,0)</f>
        <v>0</v>
      </c>
      <c r="BZ99" s="76">
        <f>IF($AU$99="snížená",$AV$99,0)</f>
        <v>0</v>
      </c>
      <c r="CA99" s="76">
        <v>0</v>
      </c>
      <c r="CB99" s="76">
        <v>0</v>
      </c>
      <c r="CC99" s="76">
        <v>0</v>
      </c>
      <c r="CD99" s="76">
        <f>IF($AU$99="základní",$AG$99,0)</f>
        <v>0</v>
      </c>
      <c r="CE99" s="76">
        <f>IF($AU$99="snížená",$AG$99,0)</f>
        <v>0</v>
      </c>
      <c r="CF99" s="76">
        <f>IF($AU$99="zákl. přenesená",$AG$99,0)</f>
        <v>0</v>
      </c>
      <c r="CG99" s="76">
        <f>IF($AU$99="sníž. přenesená",$AG$99,0)</f>
        <v>0</v>
      </c>
      <c r="CH99" s="76">
        <f>IF($AU$99="nulová",$AG$99,0)</f>
        <v>0</v>
      </c>
      <c r="CI99" s="6">
        <f>IF($AU$99="základní",1,IF($AU$99="snížená",2,IF($AU$99="zákl. přenesená",4,IF($AU$99="sníž. přenesená",5,3))))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0"/>
      <c r="D100" s="72" t="s">
        <v>96</v>
      </c>
      <c r="AG100" s="152">
        <f>ROUNDUP($AG$87*$AS$100,2)</f>
        <v>0</v>
      </c>
      <c r="AH100" s="151"/>
      <c r="AI100" s="151"/>
      <c r="AJ100" s="151"/>
      <c r="AK100" s="151"/>
      <c r="AL100" s="151"/>
      <c r="AM100" s="151"/>
      <c r="AN100" s="153">
        <f>ROUNDUP($AG$100+$AV$100,2)</f>
        <v>0</v>
      </c>
      <c r="AO100" s="151"/>
      <c r="AP100" s="151"/>
      <c r="AQ100" s="21"/>
      <c r="AS100" s="77">
        <v>0</v>
      </c>
      <c r="AT100" s="78" t="s">
        <v>86</v>
      </c>
      <c r="AU100" s="78" t="s">
        <v>40</v>
      </c>
      <c r="AV100" s="79">
        <f>ROUNDUP(IF($AU$100="základní",$AG$100*$L$28,IF($AU$100="snížená",$AG$100*$L$29,0)),2)</f>
        <v>0</v>
      </c>
      <c r="BV100" s="6" t="s">
        <v>87</v>
      </c>
      <c r="BY100" s="76">
        <f>IF($AU$100="základní",$AV$100,0)</f>
        <v>0</v>
      </c>
      <c r="BZ100" s="76">
        <f>IF($AU$100="snížená",$AV$100,0)</f>
        <v>0</v>
      </c>
      <c r="CA100" s="76">
        <v>0</v>
      </c>
      <c r="CB100" s="76">
        <v>0</v>
      </c>
      <c r="CC100" s="76">
        <v>0</v>
      </c>
      <c r="CD100" s="76">
        <f>IF($AU$100="základní",$AG$100,0)</f>
        <v>0</v>
      </c>
      <c r="CE100" s="76">
        <f>IF($AU$100="snížená",$AG$100,0)</f>
        <v>0</v>
      </c>
      <c r="CF100" s="76">
        <f>IF($AU$100="zákl. přenesená",$AG$100,0)</f>
        <v>0</v>
      </c>
      <c r="CG100" s="76">
        <f>IF($AU$100="sníž. přenesená",$AG$100,0)</f>
        <v>0</v>
      </c>
      <c r="CH100" s="76">
        <f>IF($AU$100="nulová",$AG$100,0)</f>
        <v>0</v>
      </c>
      <c r="CI100" s="6">
        <f>IF($AU$100="základní",1,IF($AU$100="snížená",2,IF($AU$100="zákl. přenesená",4,IF($AU$100="sníž. přenesená",5,3))))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0"/>
      <c r="D101" s="150" t="s">
        <v>97</v>
      </c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G101" s="152">
        <f>$AG$87*$AS$101</f>
        <v>0</v>
      </c>
      <c r="AH101" s="151"/>
      <c r="AI101" s="151"/>
      <c r="AJ101" s="151"/>
      <c r="AK101" s="151"/>
      <c r="AL101" s="151"/>
      <c r="AM101" s="151"/>
      <c r="AN101" s="153">
        <f>$AG$101+$AV$101</f>
        <v>0</v>
      </c>
      <c r="AO101" s="151"/>
      <c r="AP101" s="151"/>
      <c r="AQ101" s="21"/>
      <c r="AS101" s="77">
        <v>0</v>
      </c>
      <c r="AT101" s="78" t="s">
        <v>86</v>
      </c>
      <c r="AU101" s="78" t="s">
        <v>40</v>
      </c>
      <c r="AV101" s="79">
        <f>ROUNDUP(IF($AU$101="nulová",0,IF(OR($AU$101="základní",$AU$101="zákl. přenesená"),$AG$101*$L$28,$AG$101*$L$29)),1)</f>
        <v>0</v>
      </c>
      <c r="BV101" s="6" t="s">
        <v>98</v>
      </c>
      <c r="BY101" s="76">
        <f>IF($AU$101="základní",$AV$101,0)</f>
        <v>0</v>
      </c>
      <c r="BZ101" s="76">
        <f>IF($AU$101="snížená",$AV$101,0)</f>
        <v>0</v>
      </c>
      <c r="CA101" s="76">
        <f>IF($AU$101="zákl. přenesená",$AV$101,0)</f>
        <v>0</v>
      </c>
      <c r="CB101" s="76">
        <f>IF($AU$101="sníž. přenesená",$AV$101,0)</f>
        <v>0</v>
      </c>
      <c r="CC101" s="76">
        <f>IF($AU$101="nulová",$AV$101,0)</f>
        <v>0</v>
      </c>
      <c r="CD101" s="76">
        <f>IF($AU$101="základní",$AG$101,0)</f>
        <v>0</v>
      </c>
      <c r="CE101" s="76">
        <f>IF($AU$101="snížená",$AG$101,0)</f>
        <v>0</v>
      </c>
      <c r="CF101" s="76">
        <f>IF($AU$101="zákl. přenesená",$AG$101,0)</f>
        <v>0</v>
      </c>
      <c r="CG101" s="76">
        <f>IF($AU$101="sníž. přenesená",$AG$101,0)</f>
        <v>0</v>
      </c>
      <c r="CH101" s="76">
        <f>IF($AU$101="nulová",$AG$101,0)</f>
        <v>0</v>
      </c>
      <c r="CI101" s="6">
        <f>IF($AU$101="základní",1,IF($AU$101="snížená",2,IF($AU$101="zákl. přenesená",4,IF($AU$101="sníž. přenesená",5,3))))</f>
        <v>1</v>
      </c>
      <c r="CJ101" s="6">
        <f>IF($AT$101="stavební čast",1,IF(88101="investiční čast",2,3))</f>
        <v>1</v>
      </c>
      <c r="CK101" s="6">
        <f>IF($D$101="Vyplň vlastní","","x")</f>
      </c>
    </row>
    <row r="102" spans="2:89" s="6" customFormat="1" ht="21" customHeight="1">
      <c r="B102" s="20"/>
      <c r="D102" s="150" t="s">
        <v>97</v>
      </c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G102" s="152">
        <f>$AG$87*$AS$102</f>
        <v>0</v>
      </c>
      <c r="AH102" s="151"/>
      <c r="AI102" s="151"/>
      <c r="AJ102" s="151"/>
      <c r="AK102" s="151"/>
      <c r="AL102" s="151"/>
      <c r="AM102" s="151"/>
      <c r="AN102" s="153">
        <f>$AG$102+$AV$102</f>
        <v>0</v>
      </c>
      <c r="AO102" s="151"/>
      <c r="AP102" s="151"/>
      <c r="AQ102" s="21"/>
      <c r="AS102" s="77">
        <v>0</v>
      </c>
      <c r="AT102" s="78" t="s">
        <v>86</v>
      </c>
      <c r="AU102" s="78" t="s">
        <v>40</v>
      </c>
      <c r="AV102" s="79">
        <f>ROUNDUP(IF($AU$102="nulová",0,IF(OR($AU$102="základní",$AU$102="zákl. přenesená"),$AG$102*$L$28,$AG$102*$L$29)),1)</f>
        <v>0</v>
      </c>
      <c r="BV102" s="6" t="s">
        <v>98</v>
      </c>
      <c r="BY102" s="76">
        <f>IF($AU$102="základní",$AV$102,0)</f>
        <v>0</v>
      </c>
      <c r="BZ102" s="76">
        <f>IF($AU$102="snížená",$AV$102,0)</f>
        <v>0</v>
      </c>
      <c r="CA102" s="76">
        <f>IF($AU$102="zákl. přenesená",$AV$102,0)</f>
        <v>0</v>
      </c>
      <c r="CB102" s="76">
        <f>IF($AU$102="sníž. přenesená",$AV$102,0)</f>
        <v>0</v>
      </c>
      <c r="CC102" s="76">
        <f>IF($AU$102="nulová",$AV$102,0)</f>
        <v>0</v>
      </c>
      <c r="CD102" s="76">
        <f>IF($AU$102="základní",$AG$102,0)</f>
        <v>0</v>
      </c>
      <c r="CE102" s="76">
        <f>IF($AU$102="snížená",$AG$102,0)</f>
        <v>0</v>
      </c>
      <c r="CF102" s="76">
        <f>IF($AU$102="zákl. přenesená",$AG$102,0)</f>
        <v>0</v>
      </c>
      <c r="CG102" s="76">
        <f>IF($AU$102="sníž. přenesená",$AG$102,0)</f>
        <v>0</v>
      </c>
      <c r="CH102" s="76">
        <f>IF($AU$102="nulová",$AG$102,0)</f>
        <v>0</v>
      </c>
      <c r="CI102" s="6">
        <f>IF($AU$102="základní",1,IF($AU$102="snížená",2,IF($AU$102="zákl. přenesená",4,IF($AU$102="sníž. přenesená",5,3))))</f>
        <v>1</v>
      </c>
      <c r="CJ102" s="6">
        <f>IF($AT$102="stavební čast",1,IF(88102="investiční čast",2,3))</f>
        <v>1</v>
      </c>
      <c r="CK102" s="6">
        <f>IF($D$102="Vyplň vlastní","","x")</f>
      </c>
    </row>
    <row r="103" spans="2:89" s="6" customFormat="1" ht="21" customHeight="1">
      <c r="B103" s="20"/>
      <c r="D103" s="150" t="s">
        <v>97</v>
      </c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G103" s="152">
        <f>$AG$87*$AS$103</f>
        <v>0</v>
      </c>
      <c r="AH103" s="151"/>
      <c r="AI103" s="151"/>
      <c r="AJ103" s="151"/>
      <c r="AK103" s="151"/>
      <c r="AL103" s="151"/>
      <c r="AM103" s="151"/>
      <c r="AN103" s="153">
        <f>$AG$103+$AV$103</f>
        <v>0</v>
      </c>
      <c r="AO103" s="151"/>
      <c r="AP103" s="151"/>
      <c r="AQ103" s="21"/>
      <c r="AS103" s="80">
        <v>0</v>
      </c>
      <c r="AT103" s="81" t="s">
        <v>86</v>
      </c>
      <c r="AU103" s="81" t="s">
        <v>40</v>
      </c>
      <c r="AV103" s="82">
        <f>ROUNDUP(IF($AU$103="nulová",0,IF(OR($AU$103="základní",$AU$103="zákl. přenesená"),$AG$103*$L$28,$AG$103*$L$29)),1)</f>
        <v>0</v>
      </c>
      <c r="BV103" s="6" t="s">
        <v>98</v>
      </c>
      <c r="BY103" s="76">
        <f>IF($AU$103="základní",$AV$103,0)</f>
        <v>0</v>
      </c>
      <c r="BZ103" s="76">
        <f>IF($AU$103="snížená",$AV$103,0)</f>
        <v>0</v>
      </c>
      <c r="CA103" s="76">
        <f>IF($AU$103="zákl. přenesená",$AV$103,0)</f>
        <v>0</v>
      </c>
      <c r="CB103" s="76">
        <f>IF($AU$103="sníž. přenesená",$AV$103,0)</f>
        <v>0</v>
      </c>
      <c r="CC103" s="76">
        <f>IF($AU$103="nulová",$AV$103,0)</f>
        <v>0</v>
      </c>
      <c r="CD103" s="76">
        <f>IF($AU$103="základní",$AG$103,0)</f>
        <v>0</v>
      </c>
      <c r="CE103" s="76">
        <f>IF($AU$103="snížená",$AG$103,0)</f>
        <v>0</v>
      </c>
      <c r="CF103" s="76">
        <f>IF($AU$103="zákl. přenesená",$AG$103,0)</f>
        <v>0</v>
      </c>
      <c r="CG103" s="76">
        <f>IF($AU$103="sníž. přenesená",$AG$103,0)</f>
        <v>0</v>
      </c>
      <c r="CH103" s="76">
        <f>IF($AU$103="nulová",$AG$103,0)</f>
        <v>0</v>
      </c>
      <c r="CI103" s="6">
        <f>IF($AU$103="základní",1,IF($AU$103="snížená",2,IF($AU$103="zákl. přenesená",4,IF($AU$103="sníž. přenesená",5,3))))</f>
        <v>1</v>
      </c>
      <c r="CJ103" s="6">
        <f>IF($AT$103="stavební čast",1,IF(88103="investiční čast",2,3))</f>
        <v>1</v>
      </c>
      <c r="CK103" s="6">
        <f>IF($D$103="Vyplň vlastní","","x")</f>
      </c>
    </row>
    <row r="104" spans="2:43" s="6" customFormat="1" ht="12" customHeight="1">
      <c r="B104" s="20"/>
      <c r="AQ104" s="21"/>
    </row>
    <row r="105" spans="2:43" s="6" customFormat="1" ht="30.75" customHeight="1">
      <c r="B105" s="20"/>
      <c r="C105" s="83" t="s">
        <v>99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146">
        <f>ROUNDUP($AG$87+$AG$90,2)</f>
        <v>0</v>
      </c>
      <c r="AH105" s="147"/>
      <c r="AI105" s="147"/>
      <c r="AJ105" s="147"/>
      <c r="AK105" s="147"/>
      <c r="AL105" s="147"/>
      <c r="AM105" s="147"/>
      <c r="AN105" s="146">
        <f>ROUNDUP($AN$87+$AN$90,2)</f>
        <v>0</v>
      </c>
      <c r="AO105" s="147"/>
      <c r="AP105" s="147"/>
      <c r="AQ105" s="21"/>
    </row>
    <row r="106" spans="2:43" s="6" customFormat="1" ht="7.5" customHeight="1"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4"/>
    </row>
  </sheetData>
  <sheetProtection/>
  <mergeCells count="74">
    <mergeCell ref="C2:AP2"/>
    <mergeCell ref="C4:AP4"/>
    <mergeCell ref="BE5:BE34"/>
    <mergeCell ref="K6:AO6"/>
    <mergeCell ref="E14:AJ14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AG92:AM92"/>
    <mergeCell ref="AN92:AP92"/>
    <mergeCell ref="AG93:AM93"/>
    <mergeCell ref="AN93:AP93"/>
    <mergeCell ref="AG94:AM94"/>
    <mergeCell ref="AN94:AP94"/>
    <mergeCell ref="AG95:AM95"/>
    <mergeCell ref="AN95:AP95"/>
    <mergeCell ref="AG96:AM96"/>
    <mergeCell ref="AN96:AP96"/>
    <mergeCell ref="AG97:AM97"/>
    <mergeCell ref="AN97:AP97"/>
    <mergeCell ref="AG98:AM98"/>
    <mergeCell ref="AN98:AP98"/>
    <mergeCell ref="AG99:AM99"/>
    <mergeCell ref="AN99:AP99"/>
    <mergeCell ref="AG100:AM100"/>
    <mergeCell ref="AN100:AP100"/>
    <mergeCell ref="D101:AB101"/>
    <mergeCell ref="AG101:AM101"/>
    <mergeCell ref="AN101:AP101"/>
    <mergeCell ref="D102:AB102"/>
    <mergeCell ref="AG102:AM102"/>
    <mergeCell ref="AN102:AP102"/>
    <mergeCell ref="AG105:AM105"/>
    <mergeCell ref="AN105:AP105"/>
    <mergeCell ref="AR2:BE2"/>
    <mergeCell ref="D103:AB103"/>
    <mergeCell ref="AG103:AM103"/>
    <mergeCell ref="AN103:AP103"/>
    <mergeCell ref="AG87:AM87"/>
    <mergeCell ref="AN87:AP87"/>
    <mergeCell ref="AG90:AM90"/>
    <mergeCell ref="AN90:AP90"/>
  </mergeCells>
  <dataValidations count="2">
    <dataValidation type="list" allowBlank="1" showInputMessage="1" showErrorMessage="1" error="Povoleny jsou hodnoty základní, snížená, zákl. přenesená, sníž. přenesená, nulová." sqref="AU91:AU104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104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2013-ksi-04 - Oprava opěr...'!C2" tooltip="2013-ksi-04 - Oprava opěr...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4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0"/>
  <sheetViews>
    <sheetView showGridLines="0" tabSelected="1" zoomScalePageLayoutView="0" workbookViewId="0" topLeftCell="A1">
      <pane ySplit="1" topLeftCell="A246" activePane="bottomLeft" state="frozen"/>
      <selection pane="topLeft" activeCell="A1" sqref="A1"/>
      <selection pane="bottomLeft" activeCell="AD57" sqref="AD57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5"/>
      <c r="B1" s="142"/>
      <c r="C1" s="142"/>
      <c r="D1" s="143" t="s">
        <v>1</v>
      </c>
      <c r="E1" s="142"/>
      <c r="F1" s="144" t="s">
        <v>348</v>
      </c>
      <c r="G1" s="144"/>
      <c r="H1" s="184" t="s">
        <v>349</v>
      </c>
      <c r="I1" s="184"/>
      <c r="J1" s="184"/>
      <c r="K1" s="184"/>
      <c r="L1" s="144" t="s">
        <v>350</v>
      </c>
      <c r="M1" s="142"/>
      <c r="N1" s="142"/>
      <c r="O1" s="143" t="s">
        <v>100</v>
      </c>
      <c r="P1" s="142"/>
      <c r="Q1" s="142"/>
      <c r="R1" s="142"/>
      <c r="S1" s="144" t="s">
        <v>351</v>
      </c>
      <c r="T1" s="144"/>
      <c r="U1" s="145"/>
      <c r="V1" s="14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5" t="s">
        <v>4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S2" s="148" t="s">
        <v>5</v>
      </c>
      <c r="T2" s="149"/>
      <c r="U2" s="149"/>
      <c r="V2" s="149"/>
      <c r="W2" s="149"/>
      <c r="X2" s="149"/>
      <c r="Y2" s="149"/>
      <c r="Z2" s="149"/>
      <c r="AA2" s="149"/>
      <c r="AB2" s="149"/>
      <c r="AC2" s="149"/>
      <c r="AT2" s="2" t="s">
        <v>77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101</v>
      </c>
    </row>
    <row r="4" spans="2:46" s="2" customFormat="1" ht="37.5" customHeight="1">
      <c r="B4" s="10"/>
      <c r="C4" s="166" t="s">
        <v>102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6" customFormat="1" ht="18.75" customHeight="1">
      <c r="B6" s="20"/>
      <c r="D6" s="14" t="s">
        <v>14</v>
      </c>
      <c r="F6" s="167" t="s">
        <v>15</v>
      </c>
      <c r="G6" s="151"/>
      <c r="H6" s="151"/>
      <c r="I6" s="151"/>
      <c r="J6" s="151"/>
      <c r="K6" s="151"/>
      <c r="L6" s="151"/>
      <c r="M6" s="151"/>
      <c r="N6" s="151"/>
      <c r="O6" s="151"/>
      <c r="P6" s="151"/>
      <c r="R6" s="21"/>
    </row>
    <row r="7" spans="2:18" s="6" customFormat="1" ht="7.5" customHeight="1">
      <c r="B7" s="20"/>
      <c r="R7" s="21"/>
    </row>
    <row r="8" spans="2:18" s="6" customFormat="1" ht="15" customHeight="1">
      <c r="B8" s="20"/>
      <c r="D8" s="15" t="s">
        <v>18</v>
      </c>
      <c r="F8" s="16" t="s">
        <v>19</v>
      </c>
      <c r="M8" s="15" t="s">
        <v>20</v>
      </c>
      <c r="O8" s="208">
        <f>'Rekapitulace stavby'!$AN$8</f>
        <v>41248</v>
      </c>
      <c r="P8" s="151"/>
      <c r="R8" s="21"/>
    </row>
    <row r="9" spans="2:18" s="6" customFormat="1" ht="7.5" customHeight="1">
      <c r="B9" s="20"/>
      <c r="R9" s="21"/>
    </row>
    <row r="10" spans="2:18" s="6" customFormat="1" ht="15" customHeight="1">
      <c r="B10" s="20"/>
      <c r="D10" s="15" t="s">
        <v>23</v>
      </c>
      <c r="M10" s="15" t="s">
        <v>24</v>
      </c>
      <c r="O10" s="168"/>
      <c r="P10" s="151"/>
      <c r="R10" s="21"/>
    </row>
    <row r="11" spans="2:18" s="6" customFormat="1" ht="18.75" customHeight="1">
      <c r="B11" s="20"/>
      <c r="E11" s="16" t="s">
        <v>25</v>
      </c>
      <c r="M11" s="15" t="s">
        <v>26</v>
      </c>
      <c r="O11" s="168"/>
      <c r="P11" s="151"/>
      <c r="R11" s="21"/>
    </row>
    <row r="12" spans="2:18" s="6" customFormat="1" ht="7.5" customHeight="1">
      <c r="B12" s="20"/>
      <c r="R12" s="21"/>
    </row>
    <row r="13" spans="2:18" s="6" customFormat="1" ht="15" customHeight="1">
      <c r="B13" s="20"/>
      <c r="D13" s="15" t="s">
        <v>27</v>
      </c>
      <c r="M13" s="15" t="s">
        <v>24</v>
      </c>
      <c r="O13" s="207" t="str">
        <f>IF('Rekapitulace stavby'!$AN$13="","",'Rekapitulace stavby'!$AN$13)</f>
        <v>Vyplň údaj</v>
      </c>
      <c r="P13" s="151"/>
      <c r="R13" s="21"/>
    </row>
    <row r="14" spans="2:18" s="6" customFormat="1" ht="18.75" customHeight="1">
      <c r="B14" s="20"/>
      <c r="E14" s="207" t="str">
        <f>IF('Rekapitulace stavby'!$E$14="","",'Rekapitulace stavby'!$E$14)</f>
        <v>Vyplň údaj</v>
      </c>
      <c r="F14" s="151"/>
      <c r="G14" s="151"/>
      <c r="H14" s="151"/>
      <c r="I14" s="151"/>
      <c r="J14" s="151"/>
      <c r="K14" s="151"/>
      <c r="L14" s="151"/>
      <c r="M14" s="15" t="s">
        <v>26</v>
      </c>
      <c r="O14" s="207" t="str">
        <f>IF('Rekapitulace stavby'!$AN$14="","",'Rekapitulace stavby'!$AN$14)</f>
        <v>Vyplň údaj</v>
      </c>
      <c r="P14" s="151"/>
      <c r="R14" s="21"/>
    </row>
    <row r="15" spans="2:18" s="6" customFormat="1" ht="7.5" customHeight="1">
      <c r="B15" s="20"/>
      <c r="R15" s="21"/>
    </row>
    <row r="16" spans="2:18" s="6" customFormat="1" ht="15" customHeight="1">
      <c r="B16" s="20"/>
      <c r="D16" s="15" t="s">
        <v>29</v>
      </c>
      <c r="M16" s="15" t="s">
        <v>24</v>
      </c>
      <c r="O16" s="168" t="s">
        <v>30</v>
      </c>
      <c r="P16" s="151"/>
      <c r="R16" s="21"/>
    </row>
    <row r="17" spans="2:18" s="6" customFormat="1" ht="18.75" customHeight="1">
      <c r="B17" s="20"/>
      <c r="E17" s="16" t="s">
        <v>31</v>
      </c>
      <c r="M17" s="15" t="s">
        <v>26</v>
      </c>
      <c r="O17" s="168" t="s">
        <v>32</v>
      </c>
      <c r="P17" s="151"/>
      <c r="R17" s="21"/>
    </row>
    <row r="18" spans="2:18" s="6" customFormat="1" ht="7.5" customHeight="1">
      <c r="B18" s="20"/>
      <c r="R18" s="21"/>
    </row>
    <row r="19" spans="2:18" s="6" customFormat="1" ht="15" customHeight="1">
      <c r="B19" s="20"/>
      <c r="D19" s="15" t="s">
        <v>34</v>
      </c>
      <c r="M19" s="15" t="s">
        <v>24</v>
      </c>
      <c r="O19" s="168"/>
      <c r="P19" s="151"/>
      <c r="R19" s="21"/>
    </row>
    <row r="20" spans="2:18" s="6" customFormat="1" ht="18.75" customHeight="1">
      <c r="B20" s="20"/>
      <c r="E20" s="16" t="s">
        <v>35</v>
      </c>
      <c r="M20" s="15" t="s">
        <v>26</v>
      </c>
      <c r="O20" s="168"/>
      <c r="P20" s="151"/>
      <c r="R20" s="21"/>
    </row>
    <row r="21" spans="2:18" s="6" customFormat="1" ht="7.5" customHeight="1">
      <c r="B21" s="20"/>
      <c r="R21" s="21"/>
    </row>
    <row r="22" spans="2:18" s="6" customFormat="1" ht="7.5" customHeight="1">
      <c r="B22" s="20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R22" s="21"/>
    </row>
    <row r="23" spans="2:18" s="6" customFormat="1" ht="15" customHeight="1">
      <c r="B23" s="20"/>
      <c r="D23" s="84" t="s">
        <v>103</v>
      </c>
      <c r="M23" s="178">
        <f>$N$87</f>
        <v>0</v>
      </c>
      <c r="N23" s="151"/>
      <c r="O23" s="151"/>
      <c r="P23" s="151"/>
      <c r="R23" s="21"/>
    </row>
    <row r="24" spans="2:18" s="6" customFormat="1" ht="15" customHeight="1">
      <c r="B24" s="20"/>
      <c r="D24" s="19" t="s">
        <v>92</v>
      </c>
      <c r="M24" s="178">
        <f>$N$99</f>
        <v>0</v>
      </c>
      <c r="N24" s="151"/>
      <c r="O24" s="151"/>
      <c r="P24" s="151"/>
      <c r="R24" s="21"/>
    </row>
    <row r="25" spans="2:18" s="6" customFormat="1" ht="7.5" customHeight="1">
      <c r="B25" s="20"/>
      <c r="R25" s="21"/>
    </row>
    <row r="26" spans="2:18" s="6" customFormat="1" ht="26.25" customHeight="1">
      <c r="B26" s="20"/>
      <c r="D26" s="85" t="s">
        <v>38</v>
      </c>
      <c r="M26" s="206">
        <f>ROUNDUP($M$23+$M$24,2)</f>
        <v>0</v>
      </c>
      <c r="N26" s="151"/>
      <c r="O26" s="151"/>
      <c r="P26" s="151"/>
      <c r="R26" s="21"/>
    </row>
    <row r="27" spans="2:18" s="6" customFormat="1" ht="7.5" customHeight="1">
      <c r="B27" s="20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R27" s="21"/>
    </row>
    <row r="28" spans="2:18" s="6" customFormat="1" ht="15" customHeight="1">
      <c r="B28" s="20"/>
      <c r="D28" s="25" t="s">
        <v>39</v>
      </c>
      <c r="E28" s="25" t="s">
        <v>40</v>
      </c>
      <c r="F28" s="26">
        <v>0.21</v>
      </c>
      <c r="G28" s="86" t="s">
        <v>41</v>
      </c>
      <c r="H28" s="205">
        <f>ROUNDUP((((SUM($BE$99:$BE$106)+SUM($BE$123:$BE$233))+SUM($BE$235:$BE$239))),2)</f>
        <v>0</v>
      </c>
      <c r="I28" s="151"/>
      <c r="J28" s="151"/>
      <c r="M28" s="205">
        <f>ROUNDUP((((SUM($BE$99:$BE$106)+SUM($BE$123:$BE$233))*$F$28)+SUM($BE$235:$BE$239)*$F$28),1)</f>
        <v>0</v>
      </c>
      <c r="N28" s="151"/>
      <c r="O28" s="151"/>
      <c r="P28" s="151"/>
      <c r="R28" s="21"/>
    </row>
    <row r="29" spans="2:18" s="6" customFormat="1" ht="15" customHeight="1">
      <c r="B29" s="20"/>
      <c r="E29" s="25" t="s">
        <v>42</v>
      </c>
      <c r="F29" s="26">
        <v>0.15</v>
      </c>
      <c r="G29" s="86" t="s">
        <v>41</v>
      </c>
      <c r="H29" s="205">
        <f>ROUNDUP((((SUM($BF$99:$BF$106)+SUM($BF$123:$BF$233))+SUM($BF$235:$BF$239))),2)</f>
        <v>0</v>
      </c>
      <c r="I29" s="151"/>
      <c r="J29" s="151"/>
      <c r="M29" s="205">
        <f>ROUNDUP((((SUM($BF$99:$BF$106)+SUM($BF$123:$BF$233))*$F$29)+SUM($BF$235:$BF$239)*$F$29),1)</f>
        <v>0</v>
      </c>
      <c r="N29" s="151"/>
      <c r="O29" s="151"/>
      <c r="P29" s="151"/>
      <c r="R29" s="21"/>
    </row>
    <row r="30" spans="2:18" s="6" customFormat="1" ht="15" customHeight="1" hidden="1">
      <c r="B30" s="20"/>
      <c r="E30" s="25" t="s">
        <v>43</v>
      </c>
      <c r="F30" s="26">
        <v>0.21</v>
      </c>
      <c r="G30" s="86" t="s">
        <v>41</v>
      </c>
      <c r="H30" s="205">
        <f>ROUNDUP((((SUM($BG$99:$BG$106)+SUM($BG$123:$BG$233))+SUM($BG$235:$BG$239))),2)</f>
        <v>0</v>
      </c>
      <c r="I30" s="151"/>
      <c r="J30" s="151"/>
      <c r="M30" s="205">
        <v>0</v>
      </c>
      <c r="N30" s="151"/>
      <c r="O30" s="151"/>
      <c r="P30" s="151"/>
      <c r="R30" s="21"/>
    </row>
    <row r="31" spans="2:18" s="6" customFormat="1" ht="15" customHeight="1" hidden="1">
      <c r="B31" s="20"/>
      <c r="E31" s="25" t="s">
        <v>44</v>
      </c>
      <c r="F31" s="26">
        <v>0.15</v>
      </c>
      <c r="G31" s="86" t="s">
        <v>41</v>
      </c>
      <c r="H31" s="205">
        <f>ROUNDUP((((SUM($BH$99:$BH$106)+SUM($BH$123:$BH$233))+SUM($BH$235:$BH$239))),2)</f>
        <v>0</v>
      </c>
      <c r="I31" s="151"/>
      <c r="J31" s="151"/>
      <c r="M31" s="205">
        <v>0</v>
      </c>
      <c r="N31" s="151"/>
      <c r="O31" s="151"/>
      <c r="P31" s="151"/>
      <c r="R31" s="21"/>
    </row>
    <row r="32" spans="2:18" s="6" customFormat="1" ht="15" customHeight="1" hidden="1">
      <c r="B32" s="20"/>
      <c r="E32" s="25" t="s">
        <v>45</v>
      </c>
      <c r="F32" s="26">
        <v>0</v>
      </c>
      <c r="G32" s="86" t="s">
        <v>41</v>
      </c>
      <c r="H32" s="205">
        <f>ROUNDUP((((SUM($BI$99:$BI$106)+SUM($BI$123:$BI$233))+SUM($BI$235:$BI$239))),2)</f>
        <v>0</v>
      </c>
      <c r="I32" s="151"/>
      <c r="J32" s="151"/>
      <c r="M32" s="205">
        <v>0</v>
      </c>
      <c r="N32" s="151"/>
      <c r="O32" s="151"/>
      <c r="P32" s="151"/>
      <c r="R32" s="21"/>
    </row>
    <row r="33" spans="2:18" s="6" customFormat="1" ht="7.5" customHeight="1">
      <c r="B33" s="20"/>
      <c r="R33" s="21"/>
    </row>
    <row r="34" spans="2:18" s="6" customFormat="1" ht="26.25" customHeight="1">
      <c r="B34" s="20"/>
      <c r="C34" s="29"/>
      <c r="D34" s="30" t="s">
        <v>46</v>
      </c>
      <c r="E34" s="31"/>
      <c r="F34" s="31"/>
      <c r="G34" s="87" t="s">
        <v>47</v>
      </c>
      <c r="H34" s="32" t="s">
        <v>48</v>
      </c>
      <c r="I34" s="31"/>
      <c r="J34" s="31"/>
      <c r="K34" s="31"/>
      <c r="L34" s="165">
        <f>ROUNDUP(SUM($M$26:$M$32),2)</f>
        <v>0</v>
      </c>
      <c r="M34" s="157"/>
      <c r="N34" s="157"/>
      <c r="O34" s="157"/>
      <c r="P34" s="159"/>
      <c r="Q34" s="29"/>
      <c r="R34" s="21"/>
    </row>
    <row r="35" spans="2:18" s="6" customFormat="1" ht="15" customHeight="1">
      <c r="B35" s="20"/>
      <c r="R35" s="21"/>
    </row>
    <row r="36" spans="2:18" s="6" customFormat="1" ht="15" customHeight="1">
      <c r="B36" s="20"/>
      <c r="R36" s="21"/>
    </row>
    <row r="37" spans="2:18" s="2" customFormat="1" ht="14.25" customHeight="1">
      <c r="B37" s="10"/>
      <c r="R37" s="11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0"/>
      <c r="D50" s="33" t="s">
        <v>49</v>
      </c>
      <c r="E50" s="34"/>
      <c r="F50" s="34"/>
      <c r="G50" s="34"/>
      <c r="H50" s="35"/>
      <c r="J50" s="33" t="s">
        <v>50</v>
      </c>
      <c r="K50" s="34"/>
      <c r="L50" s="34"/>
      <c r="M50" s="34"/>
      <c r="N50" s="34"/>
      <c r="O50" s="34"/>
      <c r="P50" s="35"/>
      <c r="R50" s="21"/>
    </row>
    <row r="51" spans="2:18" s="2" customFormat="1" ht="14.25" customHeight="1">
      <c r="B51" s="10"/>
      <c r="D51" s="36"/>
      <c r="H51" s="37"/>
      <c r="J51" s="36"/>
      <c r="P51" s="37"/>
      <c r="R51" s="11"/>
    </row>
    <row r="52" spans="2:18" s="2" customFormat="1" ht="14.25" customHeight="1">
      <c r="B52" s="10"/>
      <c r="D52" s="36"/>
      <c r="H52" s="37"/>
      <c r="J52" s="36"/>
      <c r="P52" s="37"/>
      <c r="R52" s="11"/>
    </row>
    <row r="53" spans="2:18" s="2" customFormat="1" ht="14.25" customHeight="1">
      <c r="B53" s="10"/>
      <c r="D53" s="36"/>
      <c r="H53" s="37"/>
      <c r="J53" s="36"/>
      <c r="P53" s="37"/>
      <c r="R53" s="11"/>
    </row>
    <row r="54" spans="2:18" s="2" customFormat="1" ht="14.25" customHeight="1">
      <c r="B54" s="10"/>
      <c r="D54" s="36"/>
      <c r="H54" s="37"/>
      <c r="J54" s="36"/>
      <c r="P54" s="37"/>
      <c r="R54" s="11"/>
    </row>
    <row r="55" spans="2:18" s="2" customFormat="1" ht="14.25" customHeight="1">
      <c r="B55" s="10"/>
      <c r="D55" s="36"/>
      <c r="H55" s="37"/>
      <c r="J55" s="36"/>
      <c r="P55" s="37"/>
      <c r="R55" s="11"/>
    </row>
    <row r="56" spans="2:18" s="2" customFormat="1" ht="14.25" customHeight="1">
      <c r="B56" s="10"/>
      <c r="D56" s="36"/>
      <c r="H56" s="37"/>
      <c r="J56" s="36"/>
      <c r="P56" s="37"/>
      <c r="R56" s="11"/>
    </row>
    <row r="57" spans="2:18" s="2" customFormat="1" ht="14.25" customHeight="1">
      <c r="B57" s="10"/>
      <c r="D57" s="36"/>
      <c r="H57" s="37"/>
      <c r="J57" s="36"/>
      <c r="P57" s="37"/>
      <c r="R57" s="11"/>
    </row>
    <row r="58" spans="2:18" s="2" customFormat="1" ht="14.25" customHeight="1">
      <c r="B58" s="10"/>
      <c r="D58" s="36"/>
      <c r="H58" s="37"/>
      <c r="J58" s="36"/>
      <c r="P58" s="37"/>
      <c r="R58" s="11"/>
    </row>
    <row r="59" spans="2:18" s="6" customFormat="1" ht="15.75" customHeight="1">
      <c r="B59" s="20"/>
      <c r="D59" s="38" t="s">
        <v>51</v>
      </c>
      <c r="E59" s="39"/>
      <c r="F59" s="39"/>
      <c r="G59" s="40" t="s">
        <v>52</v>
      </c>
      <c r="H59" s="41"/>
      <c r="J59" s="38" t="s">
        <v>51</v>
      </c>
      <c r="K59" s="39"/>
      <c r="L59" s="39"/>
      <c r="M59" s="39"/>
      <c r="N59" s="40" t="s">
        <v>52</v>
      </c>
      <c r="O59" s="39"/>
      <c r="P59" s="41"/>
      <c r="R59" s="21"/>
    </row>
    <row r="60" spans="2:18" s="2" customFormat="1" ht="14.25" customHeight="1">
      <c r="B60" s="10"/>
      <c r="R60" s="11"/>
    </row>
    <row r="61" spans="2:18" s="6" customFormat="1" ht="15.75" customHeight="1">
      <c r="B61" s="20"/>
      <c r="D61" s="33" t="s">
        <v>53</v>
      </c>
      <c r="E61" s="34"/>
      <c r="F61" s="34"/>
      <c r="G61" s="34"/>
      <c r="H61" s="35"/>
      <c r="J61" s="33" t="s">
        <v>54</v>
      </c>
      <c r="K61" s="34"/>
      <c r="L61" s="34"/>
      <c r="M61" s="34"/>
      <c r="N61" s="34"/>
      <c r="O61" s="34"/>
      <c r="P61" s="35"/>
      <c r="R61" s="21"/>
    </row>
    <row r="62" spans="2:18" s="2" customFormat="1" ht="14.25" customHeight="1">
      <c r="B62" s="10"/>
      <c r="D62" s="36"/>
      <c r="H62" s="37"/>
      <c r="J62" s="36"/>
      <c r="P62" s="37"/>
      <c r="R62" s="11"/>
    </row>
    <row r="63" spans="2:18" s="2" customFormat="1" ht="14.25" customHeight="1">
      <c r="B63" s="10"/>
      <c r="D63" s="36"/>
      <c r="H63" s="37"/>
      <c r="J63" s="36"/>
      <c r="P63" s="37"/>
      <c r="R63" s="11"/>
    </row>
    <row r="64" spans="2:18" s="2" customFormat="1" ht="14.25" customHeight="1">
      <c r="B64" s="10"/>
      <c r="D64" s="36"/>
      <c r="H64" s="37"/>
      <c r="J64" s="36"/>
      <c r="P64" s="37"/>
      <c r="R64" s="11"/>
    </row>
    <row r="65" spans="2:18" s="2" customFormat="1" ht="14.25" customHeight="1">
      <c r="B65" s="10"/>
      <c r="D65" s="36"/>
      <c r="H65" s="37"/>
      <c r="J65" s="36"/>
      <c r="P65" s="37"/>
      <c r="R65" s="11"/>
    </row>
    <row r="66" spans="2:18" s="2" customFormat="1" ht="14.25" customHeight="1">
      <c r="B66" s="10"/>
      <c r="D66" s="36"/>
      <c r="H66" s="37"/>
      <c r="J66" s="36"/>
      <c r="P66" s="37"/>
      <c r="R66" s="11"/>
    </row>
    <row r="67" spans="2:18" s="2" customFormat="1" ht="14.25" customHeight="1">
      <c r="B67" s="10"/>
      <c r="D67" s="36"/>
      <c r="H67" s="37"/>
      <c r="J67" s="36"/>
      <c r="P67" s="37"/>
      <c r="R67" s="11"/>
    </row>
    <row r="68" spans="2:18" s="2" customFormat="1" ht="14.25" customHeight="1">
      <c r="B68" s="10"/>
      <c r="D68" s="36"/>
      <c r="H68" s="37"/>
      <c r="J68" s="36"/>
      <c r="P68" s="37"/>
      <c r="R68" s="11"/>
    </row>
    <row r="69" spans="2:18" s="2" customFormat="1" ht="14.25" customHeight="1">
      <c r="B69" s="10"/>
      <c r="D69" s="36"/>
      <c r="H69" s="37"/>
      <c r="J69" s="36"/>
      <c r="P69" s="37"/>
      <c r="R69" s="11"/>
    </row>
    <row r="70" spans="2:18" s="6" customFormat="1" ht="15.75" customHeight="1">
      <c r="B70" s="20"/>
      <c r="D70" s="38" t="s">
        <v>51</v>
      </c>
      <c r="E70" s="39"/>
      <c r="F70" s="39"/>
      <c r="G70" s="40" t="s">
        <v>52</v>
      </c>
      <c r="H70" s="41"/>
      <c r="J70" s="38" t="s">
        <v>51</v>
      </c>
      <c r="K70" s="39"/>
      <c r="L70" s="39"/>
      <c r="M70" s="39"/>
      <c r="N70" s="40" t="s">
        <v>52</v>
      </c>
      <c r="O70" s="39"/>
      <c r="P70" s="41"/>
      <c r="R70" s="21"/>
    </row>
    <row r="71" spans="2:18" s="6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5" spans="2:18" s="6" customFormat="1" ht="7.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7"/>
    </row>
    <row r="76" spans="2:18" s="6" customFormat="1" ht="37.5" customHeight="1">
      <c r="B76" s="20"/>
      <c r="C76" s="166" t="s">
        <v>104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21"/>
    </row>
    <row r="77" spans="2:18" s="6" customFormat="1" ht="7.5" customHeight="1">
      <c r="B77" s="20"/>
      <c r="R77" s="21"/>
    </row>
    <row r="78" spans="2:18" s="6" customFormat="1" ht="15" customHeight="1">
      <c r="B78" s="20"/>
      <c r="C78" s="14" t="s">
        <v>14</v>
      </c>
      <c r="F78" s="167" t="str">
        <f>$F$6</f>
        <v>2013-ksi-04 - Oprava opěrné zdi nad MŠ, na parc.č.1814, Jízdárenská ul., K. Vary</v>
      </c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R78" s="21"/>
    </row>
    <row r="79" spans="2:18" s="6" customFormat="1" ht="7.5" customHeight="1">
      <c r="B79" s="20"/>
      <c r="R79" s="21"/>
    </row>
    <row r="80" spans="2:18" s="6" customFormat="1" ht="18.75" customHeight="1">
      <c r="B80" s="20"/>
      <c r="C80" s="15" t="s">
        <v>18</v>
      </c>
      <c r="F80" s="16" t="str">
        <f>$F$8</f>
        <v>Karlovy Vary</v>
      </c>
      <c r="K80" s="15" t="s">
        <v>20</v>
      </c>
      <c r="M80" s="198">
        <f>IF($O$8="","",$O$8)</f>
        <v>41248</v>
      </c>
      <c r="N80" s="151"/>
      <c r="O80" s="151"/>
      <c r="P80" s="151"/>
      <c r="R80" s="21"/>
    </row>
    <row r="81" spans="2:18" s="6" customFormat="1" ht="7.5" customHeight="1">
      <c r="B81" s="20"/>
      <c r="R81" s="21"/>
    </row>
    <row r="82" spans="2:18" s="6" customFormat="1" ht="15.75" customHeight="1">
      <c r="B82" s="20"/>
      <c r="C82" s="15" t="s">
        <v>23</v>
      </c>
      <c r="F82" s="16" t="str">
        <f>$E$11</f>
        <v>Statutární město Karlovy Vary</v>
      </c>
      <c r="K82" s="15" t="s">
        <v>29</v>
      </c>
      <c r="M82" s="168" t="str">
        <f>$E$17</f>
        <v>Kancelář stavebního inženýrství s.r.o.</v>
      </c>
      <c r="N82" s="151"/>
      <c r="O82" s="151"/>
      <c r="P82" s="151"/>
      <c r="Q82" s="151"/>
      <c r="R82" s="21"/>
    </row>
    <row r="83" spans="2:18" s="6" customFormat="1" ht="15" customHeight="1">
      <c r="B83" s="20"/>
      <c r="C83" s="15" t="s">
        <v>27</v>
      </c>
      <c r="F83" s="16" t="str">
        <f>IF($E$14="","",$E$14)</f>
        <v>Vyplň údaj</v>
      </c>
      <c r="K83" s="15" t="s">
        <v>34</v>
      </c>
      <c r="M83" s="168" t="str">
        <f>$E$20</f>
        <v>D. Kryštovová</v>
      </c>
      <c r="N83" s="151"/>
      <c r="O83" s="151"/>
      <c r="P83" s="151"/>
      <c r="Q83" s="151"/>
      <c r="R83" s="21"/>
    </row>
    <row r="84" spans="2:18" s="6" customFormat="1" ht="11.25" customHeight="1">
      <c r="B84" s="20"/>
      <c r="R84" s="21"/>
    </row>
    <row r="85" spans="2:18" s="6" customFormat="1" ht="30" customHeight="1">
      <c r="B85" s="20"/>
      <c r="C85" s="204" t="s">
        <v>105</v>
      </c>
      <c r="D85" s="147"/>
      <c r="E85" s="147"/>
      <c r="F85" s="147"/>
      <c r="G85" s="147"/>
      <c r="H85" s="29"/>
      <c r="I85" s="29"/>
      <c r="J85" s="29"/>
      <c r="K85" s="29"/>
      <c r="L85" s="29"/>
      <c r="M85" s="29"/>
      <c r="N85" s="204" t="s">
        <v>106</v>
      </c>
      <c r="O85" s="151"/>
      <c r="P85" s="151"/>
      <c r="Q85" s="151"/>
      <c r="R85" s="21"/>
    </row>
    <row r="86" spans="2:18" s="6" customFormat="1" ht="11.25" customHeight="1">
      <c r="B86" s="20"/>
      <c r="R86" s="21"/>
    </row>
    <row r="87" spans="2:47" s="6" customFormat="1" ht="30" customHeight="1">
      <c r="B87" s="20"/>
      <c r="C87" s="59" t="s">
        <v>107</v>
      </c>
      <c r="N87" s="154">
        <f>ROUNDUP($N$123,2)</f>
        <v>0</v>
      </c>
      <c r="O87" s="151"/>
      <c r="P87" s="151"/>
      <c r="Q87" s="151"/>
      <c r="R87" s="21"/>
      <c r="AU87" s="6" t="s">
        <v>108</v>
      </c>
    </row>
    <row r="88" spans="2:18" s="88" customFormat="1" ht="25.5" customHeight="1">
      <c r="B88" s="89"/>
      <c r="D88" s="90" t="s">
        <v>109</v>
      </c>
      <c r="N88" s="202">
        <f>ROUNDUP($N$124,2)</f>
        <v>0</v>
      </c>
      <c r="O88" s="203"/>
      <c r="P88" s="203"/>
      <c r="Q88" s="203"/>
      <c r="R88" s="91"/>
    </row>
    <row r="89" spans="2:18" s="84" customFormat="1" ht="21" customHeight="1">
      <c r="B89" s="92"/>
      <c r="D89" s="72" t="s">
        <v>110</v>
      </c>
      <c r="N89" s="153">
        <f>ROUNDUP($N$125,2)</f>
        <v>0</v>
      </c>
      <c r="O89" s="203"/>
      <c r="P89" s="203"/>
      <c r="Q89" s="203"/>
      <c r="R89" s="93"/>
    </row>
    <row r="90" spans="2:18" s="84" customFormat="1" ht="21" customHeight="1">
      <c r="B90" s="92"/>
      <c r="D90" s="72" t="s">
        <v>111</v>
      </c>
      <c r="N90" s="153">
        <f>ROUNDUP($N$134,2)</f>
        <v>0</v>
      </c>
      <c r="O90" s="203"/>
      <c r="P90" s="203"/>
      <c r="Q90" s="203"/>
      <c r="R90" s="93"/>
    </row>
    <row r="91" spans="2:18" s="84" customFormat="1" ht="21" customHeight="1">
      <c r="B91" s="92"/>
      <c r="D91" s="72" t="s">
        <v>112</v>
      </c>
      <c r="N91" s="153">
        <f>ROUNDUP($N$137,2)</f>
        <v>0</v>
      </c>
      <c r="O91" s="203"/>
      <c r="P91" s="203"/>
      <c r="Q91" s="203"/>
      <c r="R91" s="93"/>
    </row>
    <row r="92" spans="2:18" s="84" customFormat="1" ht="21" customHeight="1">
      <c r="B92" s="92"/>
      <c r="D92" s="72" t="s">
        <v>113</v>
      </c>
      <c r="N92" s="153">
        <f>ROUNDUP($N$160,2)</f>
        <v>0</v>
      </c>
      <c r="O92" s="203"/>
      <c r="P92" s="203"/>
      <c r="Q92" s="203"/>
      <c r="R92" s="93"/>
    </row>
    <row r="93" spans="2:18" s="84" customFormat="1" ht="21" customHeight="1">
      <c r="B93" s="92"/>
      <c r="D93" s="72" t="s">
        <v>114</v>
      </c>
      <c r="N93" s="153">
        <f>ROUNDUP($N$163,2)</f>
        <v>0</v>
      </c>
      <c r="O93" s="203"/>
      <c r="P93" s="203"/>
      <c r="Q93" s="203"/>
      <c r="R93" s="93"/>
    </row>
    <row r="94" spans="2:18" s="84" customFormat="1" ht="15.75" customHeight="1">
      <c r="B94" s="92"/>
      <c r="D94" s="72" t="s">
        <v>115</v>
      </c>
      <c r="N94" s="153">
        <f>ROUNDUP($N$225,2)</f>
        <v>0</v>
      </c>
      <c r="O94" s="203"/>
      <c r="P94" s="203"/>
      <c r="Q94" s="203"/>
      <c r="R94" s="93"/>
    </row>
    <row r="95" spans="2:18" s="88" customFormat="1" ht="25.5" customHeight="1">
      <c r="B95" s="89"/>
      <c r="D95" s="90" t="s">
        <v>116</v>
      </c>
      <c r="N95" s="202">
        <f>ROUNDUP($N$227,2)</f>
        <v>0</v>
      </c>
      <c r="O95" s="203"/>
      <c r="P95" s="203"/>
      <c r="Q95" s="203"/>
      <c r="R95" s="91"/>
    </row>
    <row r="96" spans="2:18" s="84" customFormat="1" ht="21" customHeight="1">
      <c r="B96" s="92"/>
      <c r="D96" s="72" t="s">
        <v>117</v>
      </c>
      <c r="N96" s="153">
        <f>ROUNDUP($N$228,2)</f>
        <v>0</v>
      </c>
      <c r="O96" s="203"/>
      <c r="P96" s="203"/>
      <c r="Q96" s="203"/>
      <c r="R96" s="93"/>
    </row>
    <row r="97" spans="2:18" s="88" customFormat="1" ht="22.5" customHeight="1">
      <c r="B97" s="89"/>
      <c r="D97" s="90" t="s">
        <v>118</v>
      </c>
      <c r="N97" s="183">
        <f>$N$234</f>
        <v>0</v>
      </c>
      <c r="O97" s="203"/>
      <c r="P97" s="203"/>
      <c r="Q97" s="203"/>
      <c r="R97" s="91"/>
    </row>
    <row r="98" spans="2:18" s="6" customFormat="1" ht="22.5" customHeight="1">
      <c r="B98" s="20"/>
      <c r="R98" s="21"/>
    </row>
    <row r="99" spans="2:21" s="6" customFormat="1" ht="30" customHeight="1">
      <c r="B99" s="20"/>
      <c r="C99" s="59" t="s">
        <v>119</v>
      </c>
      <c r="N99" s="154">
        <f>ROUNDUP($N$100+$N$101+$N$102+$N$103+$N$104+$N$105,2)</f>
        <v>0</v>
      </c>
      <c r="O99" s="151"/>
      <c r="P99" s="151"/>
      <c r="Q99" s="151"/>
      <c r="R99" s="21"/>
      <c r="T99" s="94"/>
      <c r="U99" s="95" t="s">
        <v>39</v>
      </c>
    </row>
    <row r="100" spans="2:62" s="6" customFormat="1" ht="18.75" customHeight="1">
      <c r="B100" s="20"/>
      <c r="D100" s="150" t="s">
        <v>120</v>
      </c>
      <c r="E100" s="151"/>
      <c r="F100" s="151"/>
      <c r="G100" s="151"/>
      <c r="H100" s="151"/>
      <c r="N100" s="152">
        <f>ROUNDUP($N$87*$T$100,2)</f>
        <v>0</v>
      </c>
      <c r="O100" s="151"/>
      <c r="P100" s="151"/>
      <c r="Q100" s="151"/>
      <c r="R100" s="21"/>
      <c r="T100" s="96"/>
      <c r="U100" s="97" t="s">
        <v>40</v>
      </c>
      <c r="AY100" s="6" t="s">
        <v>121</v>
      </c>
      <c r="BE100" s="76">
        <f>IF($U$100="základní",$N$100,0)</f>
        <v>0</v>
      </c>
      <c r="BF100" s="76">
        <f>IF($U$100="snížená",$N$100,0)</f>
        <v>0</v>
      </c>
      <c r="BG100" s="76">
        <f>IF($U$100="zákl. přenesená",$N$100,0)</f>
        <v>0</v>
      </c>
      <c r="BH100" s="76">
        <f>IF($U$100="sníž. přenesená",$N$100,0)</f>
        <v>0</v>
      </c>
      <c r="BI100" s="76">
        <f>IF($U$100="nulová",$N$100,0)</f>
        <v>0</v>
      </c>
      <c r="BJ100" s="6" t="s">
        <v>17</v>
      </c>
    </row>
    <row r="101" spans="2:62" s="6" customFormat="1" ht="18.75" customHeight="1">
      <c r="B101" s="20"/>
      <c r="D101" s="150" t="s">
        <v>122</v>
      </c>
      <c r="E101" s="151"/>
      <c r="F101" s="151"/>
      <c r="G101" s="151"/>
      <c r="H101" s="151"/>
      <c r="N101" s="152">
        <f>ROUNDUP($N$87*$T$101,2)</f>
        <v>0</v>
      </c>
      <c r="O101" s="151"/>
      <c r="P101" s="151"/>
      <c r="Q101" s="151"/>
      <c r="R101" s="21"/>
      <c r="T101" s="96"/>
      <c r="U101" s="97" t="s">
        <v>40</v>
      </c>
      <c r="AY101" s="6" t="s">
        <v>121</v>
      </c>
      <c r="BE101" s="76">
        <f>IF($U$101="základní",$N$101,0)</f>
        <v>0</v>
      </c>
      <c r="BF101" s="76">
        <f>IF($U$101="snížená",$N$101,0)</f>
        <v>0</v>
      </c>
      <c r="BG101" s="76">
        <f>IF($U$101="zákl. přenesená",$N$101,0)</f>
        <v>0</v>
      </c>
      <c r="BH101" s="76">
        <f>IF($U$101="sníž. přenesená",$N$101,0)</f>
        <v>0</v>
      </c>
      <c r="BI101" s="76">
        <f>IF($U$101="nulová",$N$101,0)</f>
        <v>0</v>
      </c>
      <c r="BJ101" s="6" t="s">
        <v>17</v>
      </c>
    </row>
    <row r="102" spans="2:62" s="6" customFormat="1" ht="18.75" customHeight="1">
      <c r="B102" s="20"/>
      <c r="D102" s="150" t="s">
        <v>123</v>
      </c>
      <c r="E102" s="151"/>
      <c r="F102" s="151"/>
      <c r="G102" s="151"/>
      <c r="H102" s="151"/>
      <c r="N102" s="152">
        <f>ROUNDUP($N$87*$T$102,2)</f>
        <v>0</v>
      </c>
      <c r="O102" s="151"/>
      <c r="P102" s="151"/>
      <c r="Q102" s="151"/>
      <c r="R102" s="21"/>
      <c r="T102" s="96"/>
      <c r="U102" s="97" t="s">
        <v>40</v>
      </c>
      <c r="AY102" s="6" t="s">
        <v>121</v>
      </c>
      <c r="BE102" s="76">
        <f>IF($U$102="základní",$N$102,0)</f>
        <v>0</v>
      </c>
      <c r="BF102" s="76">
        <f>IF($U$102="snížená",$N$102,0)</f>
        <v>0</v>
      </c>
      <c r="BG102" s="76">
        <f>IF($U$102="zákl. přenesená",$N$102,0)</f>
        <v>0</v>
      </c>
      <c r="BH102" s="76">
        <f>IF($U$102="sníž. přenesená",$N$102,0)</f>
        <v>0</v>
      </c>
      <c r="BI102" s="76">
        <f>IF($U$102="nulová",$N$102,0)</f>
        <v>0</v>
      </c>
      <c r="BJ102" s="6" t="s">
        <v>17</v>
      </c>
    </row>
    <row r="103" spans="2:62" s="6" customFormat="1" ht="18.75" customHeight="1">
      <c r="B103" s="20"/>
      <c r="D103" s="150" t="s">
        <v>124</v>
      </c>
      <c r="E103" s="151"/>
      <c r="F103" s="151"/>
      <c r="G103" s="151"/>
      <c r="H103" s="151"/>
      <c r="N103" s="152">
        <f>ROUNDUP($N$87*$T$103,2)</f>
        <v>0</v>
      </c>
      <c r="O103" s="151"/>
      <c r="P103" s="151"/>
      <c r="Q103" s="151"/>
      <c r="R103" s="21"/>
      <c r="T103" s="96"/>
      <c r="U103" s="97" t="s">
        <v>40</v>
      </c>
      <c r="AY103" s="6" t="s">
        <v>121</v>
      </c>
      <c r="BE103" s="76">
        <f>IF($U$103="základní",$N$103,0)</f>
        <v>0</v>
      </c>
      <c r="BF103" s="76">
        <f>IF($U$103="snížená",$N$103,0)</f>
        <v>0</v>
      </c>
      <c r="BG103" s="76">
        <f>IF($U$103="zákl. přenesená",$N$103,0)</f>
        <v>0</v>
      </c>
      <c r="BH103" s="76">
        <f>IF($U$103="sníž. přenesená",$N$103,0)</f>
        <v>0</v>
      </c>
      <c r="BI103" s="76">
        <f>IF($U$103="nulová",$N$103,0)</f>
        <v>0</v>
      </c>
      <c r="BJ103" s="6" t="s">
        <v>17</v>
      </c>
    </row>
    <row r="104" spans="2:62" s="6" customFormat="1" ht="18.75" customHeight="1">
      <c r="B104" s="20"/>
      <c r="D104" s="150" t="s">
        <v>125</v>
      </c>
      <c r="E104" s="151"/>
      <c r="F104" s="151"/>
      <c r="G104" s="151"/>
      <c r="H104" s="151"/>
      <c r="N104" s="152">
        <f>ROUNDUP($N$87*$T$104,2)</f>
        <v>0</v>
      </c>
      <c r="O104" s="151"/>
      <c r="P104" s="151"/>
      <c r="Q104" s="151"/>
      <c r="R104" s="21"/>
      <c r="T104" s="96"/>
      <c r="U104" s="97" t="s">
        <v>40</v>
      </c>
      <c r="AY104" s="6" t="s">
        <v>121</v>
      </c>
      <c r="BE104" s="76">
        <f>IF($U$104="základní",$N$104,0)</f>
        <v>0</v>
      </c>
      <c r="BF104" s="76">
        <f>IF($U$104="snížená",$N$104,0)</f>
        <v>0</v>
      </c>
      <c r="BG104" s="76">
        <f>IF($U$104="zákl. přenesená",$N$104,0)</f>
        <v>0</v>
      </c>
      <c r="BH104" s="76">
        <f>IF($U$104="sníž. přenesená",$N$104,0)</f>
        <v>0</v>
      </c>
      <c r="BI104" s="76">
        <f>IF($U$104="nulová",$N$104,0)</f>
        <v>0</v>
      </c>
      <c r="BJ104" s="6" t="s">
        <v>17</v>
      </c>
    </row>
    <row r="105" spans="2:62" s="6" customFormat="1" ht="18.75" customHeight="1">
      <c r="B105" s="20"/>
      <c r="D105" s="72" t="s">
        <v>126</v>
      </c>
      <c r="N105" s="152">
        <f>ROUNDUP($N$87*$T$105,2)</f>
        <v>0</v>
      </c>
      <c r="O105" s="151"/>
      <c r="P105" s="151"/>
      <c r="Q105" s="151"/>
      <c r="R105" s="21"/>
      <c r="T105" s="98"/>
      <c r="U105" s="99" t="s">
        <v>40</v>
      </c>
      <c r="AY105" s="6" t="s">
        <v>127</v>
      </c>
      <c r="BE105" s="76">
        <f>IF($U$105="základní",$N$105,0)</f>
        <v>0</v>
      </c>
      <c r="BF105" s="76">
        <f>IF($U$105="snížená",$N$105,0)</f>
        <v>0</v>
      </c>
      <c r="BG105" s="76">
        <f>IF($U$105="zákl. přenesená",$N$105,0)</f>
        <v>0</v>
      </c>
      <c r="BH105" s="76">
        <f>IF($U$105="sníž. přenesená",$N$105,0)</f>
        <v>0</v>
      </c>
      <c r="BI105" s="76">
        <f>IF($U$105="nulová",$N$105,0)</f>
        <v>0</v>
      </c>
      <c r="BJ105" s="6" t="s">
        <v>17</v>
      </c>
    </row>
    <row r="106" spans="2:18" s="6" customFormat="1" ht="14.25" customHeight="1">
      <c r="B106" s="20"/>
      <c r="R106" s="21"/>
    </row>
    <row r="107" spans="2:18" s="6" customFormat="1" ht="30" customHeight="1">
      <c r="B107" s="20"/>
      <c r="C107" s="83" t="s">
        <v>99</v>
      </c>
      <c r="D107" s="29"/>
      <c r="E107" s="29"/>
      <c r="F107" s="29"/>
      <c r="G107" s="29"/>
      <c r="H107" s="29"/>
      <c r="I107" s="29"/>
      <c r="J107" s="29"/>
      <c r="K107" s="29"/>
      <c r="L107" s="146">
        <f>ROUNDUP(SUM($N$87+$N$99),2)</f>
        <v>0</v>
      </c>
      <c r="M107" s="147"/>
      <c r="N107" s="147"/>
      <c r="O107" s="147"/>
      <c r="P107" s="147"/>
      <c r="Q107" s="147"/>
      <c r="R107" s="21"/>
    </row>
    <row r="108" spans="2:18" s="6" customFormat="1" ht="7.5" customHeight="1"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4"/>
    </row>
    <row r="112" spans="2:18" s="6" customFormat="1" ht="7.5" customHeight="1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7"/>
    </row>
    <row r="113" spans="2:18" s="6" customFormat="1" ht="37.5" customHeight="1">
      <c r="B113" s="20"/>
      <c r="C113" s="166" t="s">
        <v>128</v>
      </c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21"/>
    </row>
    <row r="114" spans="2:18" s="6" customFormat="1" ht="7.5" customHeight="1">
      <c r="B114" s="20"/>
      <c r="R114" s="21"/>
    </row>
    <row r="115" spans="2:18" s="6" customFormat="1" ht="15" customHeight="1">
      <c r="B115" s="20"/>
      <c r="C115" s="14" t="s">
        <v>14</v>
      </c>
      <c r="F115" s="167" t="str">
        <f>$F$6</f>
        <v>2013-ksi-04 - Oprava opěrné zdi nad MŠ, na parc.č.1814, Jízdárenská ul., K. Vary</v>
      </c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R115" s="21"/>
    </row>
    <row r="116" spans="2:18" s="6" customFormat="1" ht="7.5" customHeight="1">
      <c r="B116" s="20"/>
      <c r="R116" s="21"/>
    </row>
    <row r="117" spans="2:18" s="6" customFormat="1" ht="18.75" customHeight="1">
      <c r="B117" s="20"/>
      <c r="C117" s="15" t="s">
        <v>18</v>
      </c>
      <c r="F117" s="16" t="str">
        <f>$F$8</f>
        <v>Karlovy Vary</v>
      </c>
      <c r="K117" s="15" t="s">
        <v>20</v>
      </c>
      <c r="M117" s="198">
        <f>IF($O$8="","",$O$8)</f>
        <v>41248</v>
      </c>
      <c r="N117" s="151"/>
      <c r="O117" s="151"/>
      <c r="P117" s="151"/>
      <c r="R117" s="21"/>
    </row>
    <row r="118" spans="2:18" s="6" customFormat="1" ht="7.5" customHeight="1">
      <c r="B118" s="20"/>
      <c r="R118" s="21"/>
    </row>
    <row r="119" spans="2:18" s="6" customFormat="1" ht="15.75" customHeight="1">
      <c r="B119" s="20"/>
      <c r="C119" s="15" t="s">
        <v>23</v>
      </c>
      <c r="F119" s="16" t="str">
        <f>$E$11</f>
        <v>Statutární město Karlovy Vary</v>
      </c>
      <c r="K119" s="15" t="s">
        <v>29</v>
      </c>
      <c r="M119" s="168" t="str">
        <f>$E$17</f>
        <v>Kancelář stavebního inženýrství s.r.o.</v>
      </c>
      <c r="N119" s="151"/>
      <c r="O119" s="151"/>
      <c r="P119" s="151"/>
      <c r="Q119" s="151"/>
      <c r="R119" s="21"/>
    </row>
    <row r="120" spans="2:18" s="6" customFormat="1" ht="15" customHeight="1">
      <c r="B120" s="20"/>
      <c r="C120" s="15" t="s">
        <v>27</v>
      </c>
      <c r="F120" s="16" t="str">
        <f>IF($E$14="","",$E$14)</f>
        <v>Vyplň údaj</v>
      </c>
      <c r="K120" s="15" t="s">
        <v>34</v>
      </c>
      <c r="M120" s="168" t="str">
        <f>$E$20</f>
        <v>D. Kryštovová</v>
      </c>
      <c r="N120" s="151"/>
      <c r="O120" s="151"/>
      <c r="P120" s="151"/>
      <c r="Q120" s="151"/>
      <c r="R120" s="21"/>
    </row>
    <row r="121" spans="2:18" s="6" customFormat="1" ht="11.25" customHeight="1">
      <c r="B121" s="20"/>
      <c r="R121" s="21"/>
    </row>
    <row r="122" spans="2:27" s="100" customFormat="1" ht="30" customHeight="1">
      <c r="B122" s="101"/>
      <c r="C122" s="102" t="s">
        <v>129</v>
      </c>
      <c r="D122" s="103" t="s">
        <v>130</v>
      </c>
      <c r="E122" s="103" t="s">
        <v>57</v>
      </c>
      <c r="F122" s="199" t="s">
        <v>131</v>
      </c>
      <c r="G122" s="200"/>
      <c r="H122" s="200"/>
      <c r="I122" s="200"/>
      <c r="J122" s="103" t="s">
        <v>132</v>
      </c>
      <c r="K122" s="103" t="s">
        <v>133</v>
      </c>
      <c r="L122" s="199" t="s">
        <v>134</v>
      </c>
      <c r="M122" s="200"/>
      <c r="N122" s="199" t="s">
        <v>135</v>
      </c>
      <c r="O122" s="200"/>
      <c r="P122" s="200"/>
      <c r="Q122" s="201"/>
      <c r="R122" s="104"/>
      <c r="T122" s="54" t="s">
        <v>136</v>
      </c>
      <c r="U122" s="55" t="s">
        <v>39</v>
      </c>
      <c r="V122" s="55" t="s">
        <v>137</v>
      </c>
      <c r="W122" s="55" t="s">
        <v>138</v>
      </c>
      <c r="X122" s="55" t="s">
        <v>139</v>
      </c>
      <c r="Y122" s="55" t="s">
        <v>140</v>
      </c>
      <c r="Z122" s="55" t="s">
        <v>141</v>
      </c>
      <c r="AA122" s="56" t="s">
        <v>142</v>
      </c>
    </row>
    <row r="123" spans="2:63" s="6" customFormat="1" ht="30" customHeight="1">
      <c r="B123" s="20"/>
      <c r="C123" s="59" t="s">
        <v>103</v>
      </c>
      <c r="N123" s="185">
        <f>$BK$123</f>
        <v>0</v>
      </c>
      <c r="O123" s="151"/>
      <c r="P123" s="151"/>
      <c r="Q123" s="151"/>
      <c r="R123" s="21"/>
      <c r="T123" s="58"/>
      <c r="U123" s="34"/>
      <c r="V123" s="34"/>
      <c r="W123" s="105">
        <f>$W$124+$W$227+$W$234</f>
        <v>1728.141803</v>
      </c>
      <c r="X123" s="34"/>
      <c r="Y123" s="105">
        <f>$Y$124+$Y$227+$Y$234</f>
        <v>72.44144461</v>
      </c>
      <c r="Z123" s="34"/>
      <c r="AA123" s="106">
        <f>$AA$124+$AA$227+$AA$234</f>
        <v>28.756937699999998</v>
      </c>
      <c r="AT123" s="6" t="s">
        <v>74</v>
      </c>
      <c r="AU123" s="6" t="s">
        <v>108</v>
      </c>
      <c r="BK123" s="107">
        <f>$BK$124+$BK$227+$BK$234</f>
        <v>0</v>
      </c>
    </row>
    <row r="124" spans="2:63" s="108" customFormat="1" ht="37.5" customHeight="1">
      <c r="B124" s="109"/>
      <c r="D124" s="110" t="s">
        <v>109</v>
      </c>
      <c r="N124" s="183">
        <f>$BK$124</f>
        <v>0</v>
      </c>
      <c r="O124" s="182"/>
      <c r="P124" s="182"/>
      <c r="Q124" s="182"/>
      <c r="R124" s="112"/>
      <c r="T124" s="113"/>
      <c r="W124" s="114">
        <f>$W$125+$W$134+$W$137+$W$160+$W$163</f>
        <v>1724.654801</v>
      </c>
      <c r="Y124" s="114">
        <f>$Y$125+$Y$134+$Y$137+$Y$160+$Y$163</f>
        <v>72.38219461</v>
      </c>
      <c r="AA124" s="115">
        <f>$AA$125+$AA$134+$AA$137+$AA$160+$AA$163</f>
        <v>28.542137699999998</v>
      </c>
      <c r="AR124" s="111" t="s">
        <v>17</v>
      </c>
      <c r="AT124" s="111" t="s">
        <v>74</v>
      </c>
      <c r="AU124" s="111" t="s">
        <v>75</v>
      </c>
      <c r="AY124" s="111" t="s">
        <v>143</v>
      </c>
      <c r="BK124" s="116">
        <f>$BK$125+$BK$134+$BK$137+$BK$160+$BK$163</f>
        <v>0</v>
      </c>
    </row>
    <row r="125" spans="2:63" s="108" customFormat="1" ht="21" customHeight="1">
      <c r="B125" s="109"/>
      <c r="D125" s="117" t="s">
        <v>110</v>
      </c>
      <c r="N125" s="181">
        <f>$BK$125</f>
        <v>0</v>
      </c>
      <c r="O125" s="182"/>
      <c r="P125" s="182"/>
      <c r="Q125" s="182"/>
      <c r="R125" s="112"/>
      <c r="T125" s="113"/>
      <c r="W125" s="114">
        <f>SUM($W$126:$W$133)</f>
        <v>111.43835999999999</v>
      </c>
      <c r="Y125" s="114">
        <f>SUM($Y$126:$Y$133)</f>
        <v>0</v>
      </c>
      <c r="AA125" s="115">
        <f>SUM($AA$126:$AA$133)</f>
        <v>0</v>
      </c>
      <c r="AR125" s="111" t="s">
        <v>17</v>
      </c>
      <c r="AT125" s="111" t="s">
        <v>74</v>
      </c>
      <c r="AU125" s="111" t="s">
        <v>17</v>
      </c>
      <c r="AY125" s="111" t="s">
        <v>143</v>
      </c>
      <c r="BK125" s="116">
        <f>SUM($BK$126:$BK$133)</f>
        <v>0</v>
      </c>
    </row>
    <row r="126" spans="2:64" s="6" customFormat="1" ht="27" customHeight="1">
      <c r="B126" s="20"/>
      <c r="C126" s="118" t="s">
        <v>17</v>
      </c>
      <c r="D126" s="118" t="s">
        <v>144</v>
      </c>
      <c r="E126" s="119" t="s">
        <v>145</v>
      </c>
      <c r="F126" s="191" t="s">
        <v>146</v>
      </c>
      <c r="G126" s="189"/>
      <c r="H126" s="189"/>
      <c r="I126" s="189"/>
      <c r="J126" s="120" t="s">
        <v>147</v>
      </c>
      <c r="K126" s="121">
        <v>9</v>
      </c>
      <c r="L126" s="188">
        <v>0</v>
      </c>
      <c r="M126" s="189"/>
      <c r="N126" s="190">
        <f>ROUND($L$126*$K$126,2)</f>
        <v>0</v>
      </c>
      <c r="O126" s="189"/>
      <c r="P126" s="189"/>
      <c r="Q126" s="189"/>
      <c r="R126" s="21"/>
      <c r="T126" s="122"/>
      <c r="U126" s="27" t="s">
        <v>40</v>
      </c>
      <c r="V126" s="123">
        <v>3.177</v>
      </c>
      <c r="W126" s="123">
        <f>$V$126*$K$126</f>
        <v>28.593</v>
      </c>
      <c r="X126" s="123">
        <v>0</v>
      </c>
      <c r="Y126" s="123">
        <f>$X$126*$K$126</f>
        <v>0</v>
      </c>
      <c r="Z126" s="123">
        <v>0</v>
      </c>
      <c r="AA126" s="124">
        <f>$Z$126*$K$126</f>
        <v>0</v>
      </c>
      <c r="AR126" s="6" t="s">
        <v>148</v>
      </c>
      <c r="AT126" s="6" t="s">
        <v>144</v>
      </c>
      <c r="AU126" s="6" t="s">
        <v>101</v>
      </c>
      <c r="AY126" s="6" t="s">
        <v>143</v>
      </c>
      <c r="BE126" s="76">
        <f>IF($U$126="základní",$N$126,0)</f>
        <v>0</v>
      </c>
      <c r="BF126" s="76">
        <f>IF($U$126="snížená",$N$126,0)</f>
        <v>0</v>
      </c>
      <c r="BG126" s="76">
        <f>IF($U$126="zákl. přenesená",$N$126,0)</f>
        <v>0</v>
      </c>
      <c r="BH126" s="76">
        <f>IF($U$126="sníž. přenesená",$N$126,0)</f>
        <v>0</v>
      </c>
      <c r="BI126" s="76">
        <f>IF($U$126="nulová",$N$126,0)</f>
        <v>0</v>
      </c>
      <c r="BJ126" s="6" t="s">
        <v>17</v>
      </c>
      <c r="BK126" s="76">
        <f>ROUND($L$126*$K$126,2)</f>
        <v>0</v>
      </c>
      <c r="BL126" s="6" t="s">
        <v>148</v>
      </c>
    </row>
    <row r="127" spans="2:64" s="6" customFormat="1" ht="27" customHeight="1">
      <c r="B127" s="20"/>
      <c r="C127" s="118" t="s">
        <v>101</v>
      </c>
      <c r="D127" s="118" t="s">
        <v>144</v>
      </c>
      <c r="E127" s="119" t="s">
        <v>149</v>
      </c>
      <c r="F127" s="191" t="s">
        <v>150</v>
      </c>
      <c r="G127" s="189"/>
      <c r="H127" s="189"/>
      <c r="I127" s="189"/>
      <c r="J127" s="120" t="s">
        <v>147</v>
      </c>
      <c r="K127" s="121">
        <v>9</v>
      </c>
      <c r="L127" s="188">
        <v>0</v>
      </c>
      <c r="M127" s="189"/>
      <c r="N127" s="190">
        <f>ROUND($L$127*$K$127,2)</f>
        <v>0</v>
      </c>
      <c r="O127" s="189"/>
      <c r="P127" s="189"/>
      <c r="Q127" s="189"/>
      <c r="R127" s="21"/>
      <c r="T127" s="122"/>
      <c r="U127" s="27" t="s">
        <v>40</v>
      </c>
      <c r="V127" s="123">
        <v>7.371</v>
      </c>
      <c r="W127" s="123">
        <f>$V$127*$K$127</f>
        <v>66.339</v>
      </c>
      <c r="X127" s="123">
        <v>0</v>
      </c>
      <c r="Y127" s="123">
        <f>$X$127*$K$127</f>
        <v>0</v>
      </c>
      <c r="Z127" s="123">
        <v>0</v>
      </c>
      <c r="AA127" s="124">
        <f>$Z$127*$K$127</f>
        <v>0</v>
      </c>
      <c r="AR127" s="6" t="s">
        <v>148</v>
      </c>
      <c r="AT127" s="6" t="s">
        <v>144</v>
      </c>
      <c r="AU127" s="6" t="s">
        <v>101</v>
      </c>
      <c r="AY127" s="6" t="s">
        <v>143</v>
      </c>
      <c r="BE127" s="76">
        <f>IF($U$127="základní",$N$127,0)</f>
        <v>0</v>
      </c>
      <c r="BF127" s="76">
        <f>IF($U$127="snížená",$N$127,0)</f>
        <v>0</v>
      </c>
      <c r="BG127" s="76">
        <f>IF($U$127="zákl. přenesená",$N$127,0)</f>
        <v>0</v>
      </c>
      <c r="BH127" s="76">
        <f>IF($U$127="sníž. přenesená",$N$127,0)</f>
        <v>0</v>
      </c>
      <c r="BI127" s="76">
        <f>IF($U$127="nulová",$N$127,0)</f>
        <v>0</v>
      </c>
      <c r="BJ127" s="6" t="s">
        <v>17</v>
      </c>
      <c r="BK127" s="76">
        <f>ROUND($L$127*$K$127,2)</f>
        <v>0</v>
      </c>
      <c r="BL127" s="6" t="s">
        <v>148</v>
      </c>
    </row>
    <row r="128" spans="2:64" s="6" customFormat="1" ht="27" customHeight="1">
      <c r="B128" s="20"/>
      <c r="C128" s="118" t="s">
        <v>151</v>
      </c>
      <c r="D128" s="118" t="s">
        <v>144</v>
      </c>
      <c r="E128" s="119" t="s">
        <v>152</v>
      </c>
      <c r="F128" s="191" t="s">
        <v>153</v>
      </c>
      <c r="G128" s="189"/>
      <c r="H128" s="189"/>
      <c r="I128" s="189"/>
      <c r="J128" s="120" t="s">
        <v>154</v>
      </c>
      <c r="K128" s="121">
        <v>0.48</v>
      </c>
      <c r="L128" s="188">
        <v>0</v>
      </c>
      <c r="M128" s="189"/>
      <c r="N128" s="190">
        <f>ROUND($L$128*$K$128,2)</f>
        <v>0</v>
      </c>
      <c r="O128" s="189"/>
      <c r="P128" s="189"/>
      <c r="Q128" s="189"/>
      <c r="R128" s="21"/>
      <c r="T128" s="122"/>
      <c r="U128" s="27" t="s">
        <v>40</v>
      </c>
      <c r="V128" s="123">
        <v>2.156</v>
      </c>
      <c r="W128" s="123">
        <f>$V$128*$K$128</f>
        <v>1.03488</v>
      </c>
      <c r="X128" s="123">
        <v>0</v>
      </c>
      <c r="Y128" s="123">
        <f>$X$128*$K$128</f>
        <v>0</v>
      </c>
      <c r="Z128" s="123">
        <v>0</v>
      </c>
      <c r="AA128" s="124">
        <f>$Z$128*$K$128</f>
        <v>0</v>
      </c>
      <c r="AR128" s="6" t="s">
        <v>148</v>
      </c>
      <c r="AT128" s="6" t="s">
        <v>144</v>
      </c>
      <c r="AU128" s="6" t="s">
        <v>101</v>
      </c>
      <c r="AY128" s="6" t="s">
        <v>143</v>
      </c>
      <c r="BE128" s="76">
        <f>IF($U$128="základní",$N$128,0)</f>
        <v>0</v>
      </c>
      <c r="BF128" s="76">
        <f>IF($U$128="snížená",$N$128,0)</f>
        <v>0</v>
      </c>
      <c r="BG128" s="76">
        <f>IF($U$128="zákl. přenesená",$N$128,0)</f>
        <v>0</v>
      </c>
      <c r="BH128" s="76">
        <f>IF($U$128="sníž. přenesená",$N$128,0)</f>
        <v>0</v>
      </c>
      <c r="BI128" s="76">
        <f>IF($U$128="nulová",$N$128,0)</f>
        <v>0</v>
      </c>
      <c r="BJ128" s="6" t="s">
        <v>17</v>
      </c>
      <c r="BK128" s="76">
        <f>ROUND($L$128*$K$128,2)</f>
        <v>0</v>
      </c>
      <c r="BL128" s="6" t="s">
        <v>148</v>
      </c>
    </row>
    <row r="129" spans="2:51" s="6" customFormat="1" ht="15.75" customHeight="1">
      <c r="B129" s="125"/>
      <c r="E129" s="126"/>
      <c r="F129" s="192" t="s">
        <v>155</v>
      </c>
      <c r="G129" s="193"/>
      <c r="H129" s="193"/>
      <c r="I129" s="193"/>
      <c r="K129" s="127">
        <v>0.48</v>
      </c>
      <c r="R129" s="128"/>
      <c r="T129" s="129"/>
      <c r="AA129" s="130"/>
      <c r="AT129" s="126" t="s">
        <v>156</v>
      </c>
      <c r="AU129" s="126" t="s">
        <v>101</v>
      </c>
      <c r="AV129" s="126" t="s">
        <v>101</v>
      </c>
      <c r="AW129" s="126" t="s">
        <v>108</v>
      </c>
      <c r="AX129" s="126" t="s">
        <v>75</v>
      </c>
      <c r="AY129" s="126" t="s">
        <v>143</v>
      </c>
    </row>
    <row r="130" spans="2:64" s="6" customFormat="1" ht="27" customHeight="1">
      <c r="B130" s="20"/>
      <c r="C130" s="118" t="s">
        <v>157</v>
      </c>
      <c r="D130" s="118" t="s">
        <v>144</v>
      </c>
      <c r="E130" s="119" t="s">
        <v>158</v>
      </c>
      <c r="F130" s="191" t="s">
        <v>159</v>
      </c>
      <c r="G130" s="189"/>
      <c r="H130" s="189"/>
      <c r="I130" s="189"/>
      <c r="J130" s="120" t="s">
        <v>154</v>
      </c>
      <c r="K130" s="121">
        <v>0.48</v>
      </c>
      <c r="L130" s="188">
        <v>0</v>
      </c>
      <c r="M130" s="189"/>
      <c r="N130" s="190">
        <f>ROUND($L$130*$K$130,2)</f>
        <v>0</v>
      </c>
      <c r="O130" s="189"/>
      <c r="P130" s="189"/>
      <c r="Q130" s="189"/>
      <c r="R130" s="21"/>
      <c r="T130" s="122"/>
      <c r="U130" s="27" t="s">
        <v>40</v>
      </c>
      <c r="V130" s="123">
        <v>0.152</v>
      </c>
      <c r="W130" s="123">
        <f>$V$130*$K$130</f>
        <v>0.07296</v>
      </c>
      <c r="X130" s="123">
        <v>0</v>
      </c>
      <c r="Y130" s="123">
        <f>$X$130*$K$130</f>
        <v>0</v>
      </c>
      <c r="Z130" s="123">
        <v>0</v>
      </c>
      <c r="AA130" s="124">
        <f>$Z$130*$K$130</f>
        <v>0</v>
      </c>
      <c r="AR130" s="6" t="s">
        <v>148</v>
      </c>
      <c r="AT130" s="6" t="s">
        <v>144</v>
      </c>
      <c r="AU130" s="6" t="s">
        <v>101</v>
      </c>
      <c r="AY130" s="6" t="s">
        <v>143</v>
      </c>
      <c r="BE130" s="76">
        <f>IF($U$130="základní",$N$130,0)</f>
        <v>0</v>
      </c>
      <c r="BF130" s="76">
        <f>IF($U$130="snížená",$N$130,0)</f>
        <v>0</v>
      </c>
      <c r="BG130" s="76">
        <f>IF($U$130="zákl. přenesená",$N$130,0)</f>
        <v>0</v>
      </c>
      <c r="BH130" s="76">
        <f>IF($U$130="sníž. přenesená",$N$130,0)</f>
        <v>0</v>
      </c>
      <c r="BI130" s="76">
        <f>IF($U$130="nulová",$N$130,0)</f>
        <v>0</v>
      </c>
      <c r="BJ130" s="6" t="s">
        <v>17</v>
      </c>
      <c r="BK130" s="76">
        <f>ROUND($L$130*$K$130,2)</f>
        <v>0</v>
      </c>
      <c r="BL130" s="6" t="s">
        <v>148</v>
      </c>
    </row>
    <row r="131" spans="2:64" s="6" customFormat="1" ht="27" customHeight="1">
      <c r="B131" s="20"/>
      <c r="C131" s="118" t="s">
        <v>160</v>
      </c>
      <c r="D131" s="118" t="s">
        <v>144</v>
      </c>
      <c r="E131" s="119" t="s">
        <v>161</v>
      </c>
      <c r="F131" s="191" t="s">
        <v>162</v>
      </c>
      <c r="G131" s="189"/>
      <c r="H131" s="189"/>
      <c r="I131" s="189"/>
      <c r="J131" s="120" t="s">
        <v>147</v>
      </c>
      <c r="K131" s="121">
        <v>9</v>
      </c>
      <c r="L131" s="188">
        <v>0</v>
      </c>
      <c r="M131" s="189"/>
      <c r="N131" s="190">
        <f>ROUND($L$131*$K$131,2)</f>
        <v>0</v>
      </c>
      <c r="O131" s="189"/>
      <c r="P131" s="189"/>
      <c r="Q131" s="189"/>
      <c r="R131" s="21"/>
      <c r="T131" s="122"/>
      <c r="U131" s="27" t="s">
        <v>40</v>
      </c>
      <c r="V131" s="123">
        <v>1.243</v>
      </c>
      <c r="W131" s="123">
        <f>$V$131*$K$131</f>
        <v>11.187000000000001</v>
      </c>
      <c r="X131" s="123">
        <v>0</v>
      </c>
      <c r="Y131" s="123">
        <f>$X$131*$K$131</f>
        <v>0</v>
      </c>
      <c r="Z131" s="123">
        <v>0</v>
      </c>
      <c r="AA131" s="124">
        <f>$Z$131*$K$131</f>
        <v>0</v>
      </c>
      <c r="AR131" s="6" t="s">
        <v>148</v>
      </c>
      <c r="AT131" s="6" t="s">
        <v>144</v>
      </c>
      <c r="AU131" s="6" t="s">
        <v>101</v>
      </c>
      <c r="AY131" s="6" t="s">
        <v>143</v>
      </c>
      <c r="BE131" s="76">
        <f>IF($U$131="základní",$N$131,0)</f>
        <v>0</v>
      </c>
      <c r="BF131" s="76">
        <f>IF($U$131="snížená",$N$131,0)</f>
        <v>0</v>
      </c>
      <c r="BG131" s="76">
        <f>IF($U$131="zákl. přenesená",$N$131,0)</f>
        <v>0</v>
      </c>
      <c r="BH131" s="76">
        <f>IF($U$131="sníž. přenesená",$N$131,0)</f>
        <v>0</v>
      </c>
      <c r="BI131" s="76">
        <f>IF($U$131="nulová",$N$131,0)</f>
        <v>0</v>
      </c>
      <c r="BJ131" s="6" t="s">
        <v>17</v>
      </c>
      <c r="BK131" s="76">
        <f>ROUND($L$131*$K$131,2)</f>
        <v>0</v>
      </c>
      <c r="BL131" s="6" t="s">
        <v>148</v>
      </c>
    </row>
    <row r="132" spans="2:64" s="6" customFormat="1" ht="27" customHeight="1">
      <c r="B132" s="20"/>
      <c r="C132" s="118" t="s">
        <v>148</v>
      </c>
      <c r="D132" s="118" t="s">
        <v>144</v>
      </c>
      <c r="E132" s="119" t="s">
        <v>163</v>
      </c>
      <c r="F132" s="191" t="s">
        <v>164</v>
      </c>
      <c r="G132" s="189"/>
      <c r="H132" s="189"/>
      <c r="I132" s="189"/>
      <c r="J132" s="120" t="s">
        <v>147</v>
      </c>
      <c r="K132" s="121">
        <v>9</v>
      </c>
      <c r="L132" s="188">
        <v>0</v>
      </c>
      <c r="M132" s="189"/>
      <c r="N132" s="190">
        <f>ROUND($L$132*$K$132,2)</f>
        <v>0</v>
      </c>
      <c r="O132" s="189"/>
      <c r="P132" s="189"/>
      <c r="Q132" s="189"/>
      <c r="R132" s="21"/>
      <c r="T132" s="122"/>
      <c r="U132" s="27" t="s">
        <v>40</v>
      </c>
      <c r="V132" s="123">
        <v>0.452</v>
      </c>
      <c r="W132" s="123">
        <f>$V$132*$K$132</f>
        <v>4.0680000000000005</v>
      </c>
      <c r="X132" s="123">
        <v>0</v>
      </c>
      <c r="Y132" s="123">
        <f>$X$132*$K$132</f>
        <v>0</v>
      </c>
      <c r="Z132" s="123">
        <v>0</v>
      </c>
      <c r="AA132" s="124">
        <f>$Z$132*$K$132</f>
        <v>0</v>
      </c>
      <c r="AR132" s="6" t="s">
        <v>148</v>
      </c>
      <c r="AT132" s="6" t="s">
        <v>144</v>
      </c>
      <c r="AU132" s="6" t="s">
        <v>101</v>
      </c>
      <c r="AY132" s="6" t="s">
        <v>143</v>
      </c>
      <c r="BE132" s="76">
        <f>IF($U$132="základní",$N$132,0)</f>
        <v>0</v>
      </c>
      <c r="BF132" s="76">
        <f>IF($U$132="snížená",$N$132,0)</f>
        <v>0</v>
      </c>
      <c r="BG132" s="76">
        <f>IF($U$132="zákl. přenesená",$N$132,0)</f>
        <v>0</v>
      </c>
      <c r="BH132" s="76">
        <f>IF($U$132="sníž. přenesená",$N$132,0)</f>
        <v>0</v>
      </c>
      <c r="BI132" s="76">
        <f>IF($U$132="nulová",$N$132,0)</f>
        <v>0</v>
      </c>
      <c r="BJ132" s="6" t="s">
        <v>17</v>
      </c>
      <c r="BK132" s="76">
        <f>ROUND($L$132*$K$132,2)</f>
        <v>0</v>
      </c>
      <c r="BL132" s="6" t="s">
        <v>148</v>
      </c>
    </row>
    <row r="133" spans="2:64" s="6" customFormat="1" ht="27" customHeight="1">
      <c r="B133" s="20"/>
      <c r="C133" s="118" t="s">
        <v>165</v>
      </c>
      <c r="D133" s="118" t="s">
        <v>144</v>
      </c>
      <c r="E133" s="119" t="s">
        <v>166</v>
      </c>
      <c r="F133" s="191" t="s">
        <v>167</v>
      </c>
      <c r="G133" s="189"/>
      <c r="H133" s="189"/>
      <c r="I133" s="189"/>
      <c r="J133" s="120" t="s">
        <v>154</v>
      </c>
      <c r="K133" s="121">
        <v>0.48</v>
      </c>
      <c r="L133" s="188">
        <v>0</v>
      </c>
      <c r="M133" s="189"/>
      <c r="N133" s="190">
        <f>ROUND($L$133*$K$133,2)</f>
        <v>0</v>
      </c>
      <c r="O133" s="189"/>
      <c r="P133" s="189"/>
      <c r="Q133" s="189"/>
      <c r="R133" s="21"/>
      <c r="T133" s="122"/>
      <c r="U133" s="27" t="s">
        <v>40</v>
      </c>
      <c r="V133" s="123">
        <v>0.299</v>
      </c>
      <c r="W133" s="123">
        <f>$V$133*$K$133</f>
        <v>0.14351999999999998</v>
      </c>
      <c r="X133" s="123">
        <v>0</v>
      </c>
      <c r="Y133" s="123">
        <f>$X$133*$K$133</f>
        <v>0</v>
      </c>
      <c r="Z133" s="123">
        <v>0</v>
      </c>
      <c r="AA133" s="124">
        <f>$Z$133*$K$133</f>
        <v>0</v>
      </c>
      <c r="AR133" s="6" t="s">
        <v>148</v>
      </c>
      <c r="AT133" s="6" t="s">
        <v>144</v>
      </c>
      <c r="AU133" s="6" t="s">
        <v>101</v>
      </c>
      <c r="AY133" s="6" t="s">
        <v>143</v>
      </c>
      <c r="BE133" s="76">
        <f>IF($U$133="základní",$N$133,0)</f>
        <v>0</v>
      </c>
      <c r="BF133" s="76">
        <f>IF($U$133="snížená",$N$133,0)</f>
        <v>0</v>
      </c>
      <c r="BG133" s="76">
        <f>IF($U$133="zákl. přenesená",$N$133,0)</f>
        <v>0</v>
      </c>
      <c r="BH133" s="76">
        <f>IF($U$133="sníž. přenesená",$N$133,0)</f>
        <v>0</v>
      </c>
      <c r="BI133" s="76">
        <f>IF($U$133="nulová",$N$133,0)</f>
        <v>0</v>
      </c>
      <c r="BJ133" s="6" t="s">
        <v>17</v>
      </c>
      <c r="BK133" s="76">
        <f>ROUND($L$133*$K$133,2)</f>
        <v>0</v>
      </c>
      <c r="BL133" s="6" t="s">
        <v>148</v>
      </c>
    </row>
    <row r="134" spans="2:63" s="108" customFormat="1" ht="30.75" customHeight="1">
      <c r="B134" s="109"/>
      <c r="D134" s="117" t="s">
        <v>111</v>
      </c>
      <c r="N134" s="181">
        <f>$BK$134</f>
        <v>0</v>
      </c>
      <c r="O134" s="182"/>
      <c r="P134" s="182"/>
      <c r="Q134" s="182"/>
      <c r="R134" s="112"/>
      <c r="T134" s="113"/>
      <c r="W134" s="114">
        <f>SUM($W$135:$W$136)</f>
        <v>0.28031999999999996</v>
      </c>
      <c r="Y134" s="114">
        <f>SUM($Y$135:$Y$136)</f>
        <v>1.1775792</v>
      </c>
      <c r="AA134" s="115">
        <f>SUM($AA$135:$AA$136)</f>
        <v>0</v>
      </c>
      <c r="AR134" s="111" t="s">
        <v>17</v>
      </c>
      <c r="AT134" s="111" t="s">
        <v>74</v>
      </c>
      <c r="AU134" s="111" t="s">
        <v>17</v>
      </c>
      <c r="AY134" s="111" t="s">
        <v>143</v>
      </c>
      <c r="BK134" s="116">
        <f>SUM($BK$135:$BK$136)</f>
        <v>0</v>
      </c>
    </row>
    <row r="135" spans="2:64" s="6" customFormat="1" ht="15.75" customHeight="1">
      <c r="B135" s="20"/>
      <c r="C135" s="118" t="s">
        <v>168</v>
      </c>
      <c r="D135" s="118" t="s">
        <v>144</v>
      </c>
      <c r="E135" s="119" t="s">
        <v>169</v>
      </c>
      <c r="F135" s="191" t="s">
        <v>170</v>
      </c>
      <c r="G135" s="189"/>
      <c r="H135" s="189"/>
      <c r="I135" s="189"/>
      <c r="J135" s="120" t="s">
        <v>154</v>
      </c>
      <c r="K135" s="121">
        <v>0.48</v>
      </c>
      <c r="L135" s="188">
        <v>0</v>
      </c>
      <c r="M135" s="189"/>
      <c r="N135" s="190">
        <f>ROUND($L$135*$K$135,2)</f>
        <v>0</v>
      </c>
      <c r="O135" s="189"/>
      <c r="P135" s="189"/>
      <c r="Q135" s="189"/>
      <c r="R135" s="21"/>
      <c r="T135" s="122"/>
      <c r="U135" s="27" t="s">
        <v>40</v>
      </c>
      <c r="V135" s="123">
        <v>0.584</v>
      </c>
      <c r="W135" s="123">
        <f>$V$135*$K$135</f>
        <v>0.28031999999999996</v>
      </c>
      <c r="X135" s="123">
        <v>2.45329</v>
      </c>
      <c r="Y135" s="123">
        <f>$X$135*$K$135</f>
        <v>1.1775792</v>
      </c>
      <c r="Z135" s="123">
        <v>0</v>
      </c>
      <c r="AA135" s="124">
        <f>$Z$135*$K$135</f>
        <v>0</v>
      </c>
      <c r="AR135" s="6" t="s">
        <v>148</v>
      </c>
      <c r="AT135" s="6" t="s">
        <v>144</v>
      </c>
      <c r="AU135" s="6" t="s">
        <v>101</v>
      </c>
      <c r="AY135" s="6" t="s">
        <v>143</v>
      </c>
      <c r="BE135" s="76">
        <f>IF($U$135="základní",$N$135,0)</f>
        <v>0</v>
      </c>
      <c r="BF135" s="76">
        <f>IF($U$135="snížená",$N$135,0)</f>
        <v>0</v>
      </c>
      <c r="BG135" s="76">
        <f>IF($U$135="zákl. přenesená",$N$135,0)</f>
        <v>0</v>
      </c>
      <c r="BH135" s="76">
        <f>IF($U$135="sníž. přenesená",$N$135,0)</f>
        <v>0</v>
      </c>
      <c r="BI135" s="76">
        <f>IF($U$135="nulová",$N$135,0)</f>
        <v>0</v>
      </c>
      <c r="BJ135" s="6" t="s">
        <v>17</v>
      </c>
      <c r="BK135" s="76">
        <f>ROUND($L$135*$K$135,2)</f>
        <v>0</v>
      </c>
      <c r="BL135" s="6" t="s">
        <v>148</v>
      </c>
    </row>
    <row r="136" spans="2:51" s="6" customFormat="1" ht="15.75" customHeight="1">
      <c r="B136" s="125"/>
      <c r="E136" s="126"/>
      <c r="F136" s="192" t="s">
        <v>171</v>
      </c>
      <c r="G136" s="193"/>
      <c r="H136" s="193"/>
      <c r="I136" s="193"/>
      <c r="K136" s="127">
        <v>0.48</v>
      </c>
      <c r="R136" s="128"/>
      <c r="T136" s="129"/>
      <c r="AA136" s="130"/>
      <c r="AT136" s="126" t="s">
        <v>156</v>
      </c>
      <c r="AU136" s="126" t="s">
        <v>101</v>
      </c>
      <c r="AV136" s="126" t="s">
        <v>101</v>
      </c>
      <c r="AW136" s="126" t="s">
        <v>108</v>
      </c>
      <c r="AX136" s="126" t="s">
        <v>75</v>
      </c>
      <c r="AY136" s="126" t="s">
        <v>143</v>
      </c>
    </row>
    <row r="137" spans="2:63" s="108" customFormat="1" ht="30.75" customHeight="1">
      <c r="B137" s="109"/>
      <c r="D137" s="117" t="s">
        <v>112</v>
      </c>
      <c r="N137" s="181">
        <f>$BK$137</f>
        <v>0</v>
      </c>
      <c r="O137" s="182"/>
      <c r="P137" s="182"/>
      <c r="Q137" s="182"/>
      <c r="R137" s="112"/>
      <c r="T137" s="113"/>
      <c r="W137" s="114">
        <f>SUM($W$138:$W$159)</f>
        <v>191.14445500000002</v>
      </c>
      <c r="Y137" s="114">
        <f>SUM($Y$138:$Y$159)</f>
        <v>34.55630539</v>
      </c>
      <c r="AA137" s="115">
        <f>SUM($AA$138:$AA$159)</f>
        <v>0</v>
      </c>
      <c r="AR137" s="111" t="s">
        <v>17</v>
      </c>
      <c r="AT137" s="111" t="s">
        <v>74</v>
      </c>
      <c r="AU137" s="111" t="s">
        <v>17</v>
      </c>
      <c r="AY137" s="111" t="s">
        <v>143</v>
      </c>
      <c r="BK137" s="116">
        <f>SUM($BK$138:$BK$159)</f>
        <v>0</v>
      </c>
    </row>
    <row r="138" spans="2:64" s="6" customFormat="1" ht="27" customHeight="1">
      <c r="B138" s="20"/>
      <c r="C138" s="118" t="s">
        <v>172</v>
      </c>
      <c r="D138" s="118" t="s">
        <v>144</v>
      </c>
      <c r="E138" s="119" t="s">
        <v>173</v>
      </c>
      <c r="F138" s="191" t="s">
        <v>174</v>
      </c>
      <c r="G138" s="189"/>
      <c r="H138" s="189"/>
      <c r="I138" s="189"/>
      <c r="J138" s="120" t="s">
        <v>154</v>
      </c>
      <c r="K138" s="121">
        <v>9.818</v>
      </c>
      <c r="L138" s="188">
        <v>0</v>
      </c>
      <c r="M138" s="189"/>
      <c r="N138" s="190">
        <f>ROUND($L$138*$K$138,2)</f>
        <v>0</v>
      </c>
      <c r="O138" s="189"/>
      <c r="P138" s="189"/>
      <c r="Q138" s="189"/>
      <c r="R138" s="21"/>
      <c r="T138" s="122"/>
      <c r="U138" s="27" t="s">
        <v>40</v>
      </c>
      <c r="V138" s="123">
        <v>2.667</v>
      </c>
      <c r="W138" s="123">
        <f>$V$138*$K$138</f>
        <v>26.184606</v>
      </c>
      <c r="X138" s="123">
        <v>2.47057</v>
      </c>
      <c r="Y138" s="123">
        <f>$X$138*$K$138</f>
        <v>24.256056259999998</v>
      </c>
      <c r="Z138" s="123">
        <v>0</v>
      </c>
      <c r="AA138" s="124">
        <f>$Z$138*$K$138</f>
        <v>0</v>
      </c>
      <c r="AR138" s="6" t="s">
        <v>148</v>
      </c>
      <c r="AT138" s="6" t="s">
        <v>144</v>
      </c>
      <c r="AU138" s="6" t="s">
        <v>101</v>
      </c>
      <c r="AY138" s="6" t="s">
        <v>143</v>
      </c>
      <c r="BE138" s="76">
        <f>IF($U$138="základní",$N$138,0)</f>
        <v>0</v>
      </c>
      <c r="BF138" s="76">
        <f>IF($U$138="snížená",$N$138,0)</f>
        <v>0</v>
      </c>
      <c r="BG138" s="76">
        <f>IF($U$138="zákl. přenesená",$N$138,0)</f>
        <v>0</v>
      </c>
      <c r="BH138" s="76">
        <f>IF($U$138="sníž. přenesená",$N$138,0)</f>
        <v>0</v>
      </c>
      <c r="BI138" s="76">
        <f>IF($U$138="nulová",$N$138,0)</f>
        <v>0</v>
      </c>
      <c r="BJ138" s="6" t="s">
        <v>17</v>
      </c>
      <c r="BK138" s="76">
        <f>ROUND($L$138*$K$138,2)</f>
        <v>0</v>
      </c>
      <c r="BL138" s="6" t="s">
        <v>148</v>
      </c>
    </row>
    <row r="139" spans="2:51" s="6" customFormat="1" ht="15.75" customHeight="1">
      <c r="B139" s="125"/>
      <c r="E139" s="126"/>
      <c r="F139" s="192" t="s">
        <v>175</v>
      </c>
      <c r="G139" s="193"/>
      <c r="H139" s="193"/>
      <c r="I139" s="193"/>
      <c r="K139" s="127">
        <v>5.073</v>
      </c>
      <c r="R139" s="128"/>
      <c r="T139" s="129"/>
      <c r="AA139" s="130"/>
      <c r="AT139" s="126" t="s">
        <v>156</v>
      </c>
      <c r="AU139" s="126" t="s">
        <v>101</v>
      </c>
      <c r="AV139" s="126" t="s">
        <v>101</v>
      </c>
      <c r="AW139" s="126" t="s">
        <v>108</v>
      </c>
      <c r="AX139" s="126" t="s">
        <v>75</v>
      </c>
      <c r="AY139" s="126" t="s">
        <v>143</v>
      </c>
    </row>
    <row r="140" spans="2:51" s="6" customFormat="1" ht="39" customHeight="1">
      <c r="B140" s="125"/>
      <c r="E140" s="126"/>
      <c r="F140" s="192" t="s">
        <v>176</v>
      </c>
      <c r="G140" s="193"/>
      <c r="H140" s="193"/>
      <c r="I140" s="193"/>
      <c r="K140" s="127">
        <v>4.745</v>
      </c>
      <c r="R140" s="128"/>
      <c r="T140" s="129"/>
      <c r="AA140" s="130"/>
      <c r="AT140" s="126" t="s">
        <v>156</v>
      </c>
      <c r="AU140" s="126" t="s">
        <v>101</v>
      </c>
      <c r="AV140" s="126" t="s">
        <v>101</v>
      </c>
      <c r="AW140" s="126" t="s">
        <v>108</v>
      </c>
      <c r="AX140" s="126" t="s">
        <v>75</v>
      </c>
      <c r="AY140" s="126" t="s">
        <v>143</v>
      </c>
    </row>
    <row r="141" spans="2:64" s="6" customFormat="1" ht="27" customHeight="1">
      <c r="B141" s="20"/>
      <c r="C141" s="118" t="s">
        <v>177</v>
      </c>
      <c r="D141" s="118" t="s">
        <v>144</v>
      </c>
      <c r="E141" s="119" t="s">
        <v>178</v>
      </c>
      <c r="F141" s="191" t="s">
        <v>179</v>
      </c>
      <c r="G141" s="189"/>
      <c r="H141" s="189"/>
      <c r="I141" s="189"/>
      <c r="J141" s="120" t="s">
        <v>180</v>
      </c>
      <c r="K141" s="121">
        <v>44.111</v>
      </c>
      <c r="L141" s="188">
        <v>0</v>
      </c>
      <c r="M141" s="189"/>
      <c r="N141" s="190">
        <f>ROUND($L$141*$K$141,2)</f>
        <v>0</v>
      </c>
      <c r="O141" s="189"/>
      <c r="P141" s="189"/>
      <c r="Q141" s="189"/>
      <c r="R141" s="21"/>
      <c r="T141" s="122"/>
      <c r="U141" s="27" t="s">
        <v>40</v>
      </c>
      <c r="V141" s="123">
        <v>1.16</v>
      </c>
      <c r="W141" s="123">
        <f>$V$141*$K$141</f>
        <v>51.16875999999999</v>
      </c>
      <c r="X141" s="123">
        <v>0.02519</v>
      </c>
      <c r="Y141" s="123">
        <f>$X$141*$K$141</f>
        <v>1.11115609</v>
      </c>
      <c r="Z141" s="123">
        <v>0</v>
      </c>
      <c r="AA141" s="124">
        <f>$Z$141*$K$141</f>
        <v>0</v>
      </c>
      <c r="AR141" s="6" t="s">
        <v>148</v>
      </c>
      <c r="AT141" s="6" t="s">
        <v>144</v>
      </c>
      <c r="AU141" s="6" t="s">
        <v>101</v>
      </c>
      <c r="AY141" s="6" t="s">
        <v>143</v>
      </c>
      <c r="BE141" s="76">
        <f>IF($U$141="základní",$N$141,0)</f>
        <v>0</v>
      </c>
      <c r="BF141" s="76">
        <f>IF($U$141="snížená",$N$141,0)</f>
        <v>0</v>
      </c>
      <c r="BG141" s="76">
        <f>IF($U$141="zákl. přenesená",$N$141,0)</f>
        <v>0</v>
      </c>
      <c r="BH141" s="76">
        <f>IF($U$141="sníž. přenesená",$N$141,0)</f>
        <v>0</v>
      </c>
      <c r="BI141" s="76">
        <f>IF($U$141="nulová",$N$141,0)</f>
        <v>0</v>
      </c>
      <c r="BJ141" s="6" t="s">
        <v>17</v>
      </c>
      <c r="BK141" s="76">
        <f>ROUND($L$141*$K$141,2)</f>
        <v>0</v>
      </c>
      <c r="BL141" s="6" t="s">
        <v>148</v>
      </c>
    </row>
    <row r="142" spans="2:51" s="6" customFormat="1" ht="15.75" customHeight="1">
      <c r="B142" s="125"/>
      <c r="E142" s="126"/>
      <c r="F142" s="192" t="s">
        <v>181</v>
      </c>
      <c r="G142" s="193"/>
      <c r="H142" s="193"/>
      <c r="I142" s="193"/>
      <c r="K142" s="127">
        <v>20.291</v>
      </c>
      <c r="R142" s="128"/>
      <c r="T142" s="129"/>
      <c r="AA142" s="130"/>
      <c r="AT142" s="126" t="s">
        <v>156</v>
      </c>
      <c r="AU142" s="126" t="s">
        <v>101</v>
      </c>
      <c r="AV142" s="126" t="s">
        <v>101</v>
      </c>
      <c r="AW142" s="126" t="s">
        <v>108</v>
      </c>
      <c r="AX142" s="126" t="s">
        <v>75</v>
      </c>
      <c r="AY142" s="126" t="s">
        <v>143</v>
      </c>
    </row>
    <row r="143" spans="2:51" s="6" customFormat="1" ht="15.75" customHeight="1">
      <c r="B143" s="125"/>
      <c r="E143" s="126"/>
      <c r="F143" s="192" t="s">
        <v>182</v>
      </c>
      <c r="G143" s="193"/>
      <c r="H143" s="193"/>
      <c r="I143" s="193"/>
      <c r="K143" s="127">
        <v>0.72</v>
      </c>
      <c r="R143" s="128"/>
      <c r="T143" s="129"/>
      <c r="AA143" s="130"/>
      <c r="AT143" s="126" t="s">
        <v>156</v>
      </c>
      <c r="AU143" s="126" t="s">
        <v>101</v>
      </c>
      <c r="AV143" s="126" t="s">
        <v>101</v>
      </c>
      <c r="AW143" s="126" t="s">
        <v>108</v>
      </c>
      <c r="AX143" s="126" t="s">
        <v>75</v>
      </c>
      <c r="AY143" s="126" t="s">
        <v>143</v>
      </c>
    </row>
    <row r="144" spans="2:51" s="6" customFormat="1" ht="39" customHeight="1">
      <c r="B144" s="125"/>
      <c r="E144" s="126"/>
      <c r="F144" s="192" t="s">
        <v>183</v>
      </c>
      <c r="G144" s="193"/>
      <c r="H144" s="193"/>
      <c r="I144" s="193"/>
      <c r="K144" s="127">
        <v>22.068</v>
      </c>
      <c r="R144" s="128"/>
      <c r="T144" s="129"/>
      <c r="AA144" s="130"/>
      <c r="AT144" s="126" t="s">
        <v>156</v>
      </c>
      <c r="AU144" s="126" t="s">
        <v>101</v>
      </c>
      <c r="AV144" s="126" t="s">
        <v>101</v>
      </c>
      <c r="AW144" s="126" t="s">
        <v>108</v>
      </c>
      <c r="AX144" s="126" t="s">
        <v>75</v>
      </c>
      <c r="AY144" s="126" t="s">
        <v>143</v>
      </c>
    </row>
    <row r="145" spans="2:51" s="6" customFormat="1" ht="15.75" customHeight="1">
      <c r="B145" s="125"/>
      <c r="E145" s="126"/>
      <c r="F145" s="192" t="s">
        <v>184</v>
      </c>
      <c r="G145" s="193"/>
      <c r="H145" s="193"/>
      <c r="I145" s="193"/>
      <c r="K145" s="127">
        <v>1.032</v>
      </c>
      <c r="R145" s="128"/>
      <c r="T145" s="129"/>
      <c r="AA145" s="130"/>
      <c r="AT145" s="126" t="s">
        <v>156</v>
      </c>
      <c r="AU145" s="126" t="s">
        <v>101</v>
      </c>
      <c r="AV145" s="126" t="s">
        <v>101</v>
      </c>
      <c r="AW145" s="126" t="s">
        <v>108</v>
      </c>
      <c r="AX145" s="126" t="s">
        <v>75</v>
      </c>
      <c r="AY145" s="126" t="s">
        <v>143</v>
      </c>
    </row>
    <row r="146" spans="2:64" s="6" customFormat="1" ht="27" customHeight="1">
      <c r="B146" s="20"/>
      <c r="C146" s="118" t="s">
        <v>185</v>
      </c>
      <c r="D146" s="118" t="s">
        <v>144</v>
      </c>
      <c r="E146" s="119" t="s">
        <v>186</v>
      </c>
      <c r="F146" s="191" t="s">
        <v>187</v>
      </c>
      <c r="G146" s="189"/>
      <c r="H146" s="189"/>
      <c r="I146" s="189"/>
      <c r="J146" s="120" t="s">
        <v>180</v>
      </c>
      <c r="K146" s="121">
        <v>44.111</v>
      </c>
      <c r="L146" s="188">
        <v>0</v>
      </c>
      <c r="M146" s="189"/>
      <c r="N146" s="190">
        <f>ROUND($L$146*$K$146,2)</f>
        <v>0</v>
      </c>
      <c r="O146" s="189"/>
      <c r="P146" s="189"/>
      <c r="Q146" s="189"/>
      <c r="R146" s="21"/>
      <c r="T146" s="122"/>
      <c r="U146" s="27" t="s">
        <v>40</v>
      </c>
      <c r="V146" s="123">
        <v>0.339</v>
      </c>
      <c r="W146" s="123">
        <f>$V$146*$K$146</f>
        <v>14.953629</v>
      </c>
      <c r="X146" s="123">
        <v>0</v>
      </c>
      <c r="Y146" s="123">
        <f>$X$146*$K$146</f>
        <v>0</v>
      </c>
      <c r="Z146" s="123">
        <v>0</v>
      </c>
      <c r="AA146" s="124">
        <f>$Z$146*$K$146</f>
        <v>0</v>
      </c>
      <c r="AR146" s="6" t="s">
        <v>148</v>
      </c>
      <c r="AT146" s="6" t="s">
        <v>144</v>
      </c>
      <c r="AU146" s="6" t="s">
        <v>101</v>
      </c>
      <c r="AY146" s="6" t="s">
        <v>143</v>
      </c>
      <c r="BE146" s="76">
        <f>IF($U$146="základní",$N$146,0)</f>
        <v>0</v>
      </c>
      <c r="BF146" s="76">
        <f>IF($U$146="snížená",$N$146,0)</f>
        <v>0</v>
      </c>
      <c r="BG146" s="76">
        <f>IF($U$146="zákl. přenesená",$N$146,0)</f>
        <v>0</v>
      </c>
      <c r="BH146" s="76">
        <f>IF($U$146="sníž. přenesená",$N$146,0)</f>
        <v>0</v>
      </c>
      <c r="BI146" s="76">
        <f>IF($U$146="nulová",$N$146,0)</f>
        <v>0</v>
      </c>
      <c r="BJ146" s="6" t="s">
        <v>17</v>
      </c>
      <c r="BK146" s="76">
        <f>ROUND($L$146*$K$146,2)</f>
        <v>0</v>
      </c>
      <c r="BL146" s="6" t="s">
        <v>148</v>
      </c>
    </row>
    <row r="147" spans="2:64" s="6" customFormat="1" ht="27" customHeight="1">
      <c r="B147" s="20"/>
      <c r="C147" s="118" t="s">
        <v>188</v>
      </c>
      <c r="D147" s="118" t="s">
        <v>144</v>
      </c>
      <c r="E147" s="119" t="s">
        <v>189</v>
      </c>
      <c r="F147" s="191" t="s">
        <v>190</v>
      </c>
      <c r="G147" s="189"/>
      <c r="H147" s="189"/>
      <c r="I147" s="189"/>
      <c r="J147" s="120" t="s">
        <v>191</v>
      </c>
      <c r="K147" s="121">
        <v>1.178</v>
      </c>
      <c r="L147" s="188">
        <v>0</v>
      </c>
      <c r="M147" s="189"/>
      <c r="N147" s="190">
        <f>ROUND($L$147*$K$147,2)</f>
        <v>0</v>
      </c>
      <c r="O147" s="189"/>
      <c r="P147" s="189"/>
      <c r="Q147" s="189"/>
      <c r="R147" s="21"/>
      <c r="T147" s="122"/>
      <c r="U147" s="27" t="s">
        <v>40</v>
      </c>
      <c r="V147" s="123">
        <v>45.358</v>
      </c>
      <c r="W147" s="123">
        <f>$V$147*$K$147</f>
        <v>53.431723999999996</v>
      </c>
      <c r="X147" s="123">
        <v>1.04711</v>
      </c>
      <c r="Y147" s="123">
        <f>$X$147*$K$147</f>
        <v>1.2334955799999998</v>
      </c>
      <c r="Z147" s="123">
        <v>0</v>
      </c>
      <c r="AA147" s="124">
        <f>$Z$147*$K$147</f>
        <v>0</v>
      </c>
      <c r="AR147" s="6" t="s">
        <v>148</v>
      </c>
      <c r="AT147" s="6" t="s">
        <v>144</v>
      </c>
      <c r="AU147" s="6" t="s">
        <v>101</v>
      </c>
      <c r="AY147" s="6" t="s">
        <v>143</v>
      </c>
      <c r="BE147" s="76">
        <f>IF($U$147="základní",$N$147,0)</f>
        <v>0</v>
      </c>
      <c r="BF147" s="76">
        <f>IF($U$147="snížená",$N$147,0)</f>
        <v>0</v>
      </c>
      <c r="BG147" s="76">
        <f>IF($U$147="zákl. přenesená",$N$147,0)</f>
        <v>0</v>
      </c>
      <c r="BH147" s="76">
        <f>IF($U$147="sníž. přenesená",$N$147,0)</f>
        <v>0</v>
      </c>
      <c r="BI147" s="76">
        <f>IF($U$147="nulová",$N$147,0)</f>
        <v>0</v>
      </c>
      <c r="BJ147" s="6" t="s">
        <v>17</v>
      </c>
      <c r="BK147" s="76">
        <f>ROUND($L$147*$K$147,2)</f>
        <v>0</v>
      </c>
      <c r="BL147" s="6" t="s">
        <v>148</v>
      </c>
    </row>
    <row r="148" spans="2:51" s="6" customFormat="1" ht="15.75" customHeight="1">
      <c r="B148" s="125"/>
      <c r="E148" s="126"/>
      <c r="F148" s="192" t="s">
        <v>192</v>
      </c>
      <c r="G148" s="193"/>
      <c r="H148" s="193"/>
      <c r="I148" s="193"/>
      <c r="K148" s="127">
        <v>1.178</v>
      </c>
      <c r="R148" s="128"/>
      <c r="T148" s="129"/>
      <c r="AA148" s="130"/>
      <c r="AT148" s="126" t="s">
        <v>156</v>
      </c>
      <c r="AU148" s="126" t="s">
        <v>101</v>
      </c>
      <c r="AV148" s="126" t="s">
        <v>101</v>
      </c>
      <c r="AW148" s="126" t="s">
        <v>108</v>
      </c>
      <c r="AX148" s="126" t="s">
        <v>75</v>
      </c>
      <c r="AY148" s="126" t="s">
        <v>143</v>
      </c>
    </row>
    <row r="149" spans="2:64" s="6" customFormat="1" ht="15.75" customHeight="1">
      <c r="B149" s="20"/>
      <c r="C149" s="118" t="s">
        <v>193</v>
      </c>
      <c r="D149" s="118" t="s">
        <v>144</v>
      </c>
      <c r="E149" s="119" t="s">
        <v>194</v>
      </c>
      <c r="F149" s="191" t="s">
        <v>195</v>
      </c>
      <c r="G149" s="189"/>
      <c r="H149" s="189"/>
      <c r="I149" s="189"/>
      <c r="J149" s="120" t="s">
        <v>154</v>
      </c>
      <c r="K149" s="121">
        <v>1.1</v>
      </c>
      <c r="L149" s="188">
        <v>0</v>
      </c>
      <c r="M149" s="189"/>
      <c r="N149" s="190">
        <f>ROUND($L$149*$K$149,2)</f>
        <v>0</v>
      </c>
      <c r="O149" s="189"/>
      <c r="P149" s="189"/>
      <c r="Q149" s="189"/>
      <c r="R149" s="21"/>
      <c r="T149" s="122"/>
      <c r="U149" s="27" t="s">
        <v>40</v>
      </c>
      <c r="V149" s="123">
        <v>2.591</v>
      </c>
      <c r="W149" s="123">
        <f>$V$149*$K$149</f>
        <v>2.8501000000000003</v>
      </c>
      <c r="X149" s="123">
        <v>2.45329</v>
      </c>
      <c r="Y149" s="123">
        <f>$X$149*$K$149</f>
        <v>2.6986190000000003</v>
      </c>
      <c r="Z149" s="123">
        <v>0</v>
      </c>
      <c r="AA149" s="124">
        <f>$Z$149*$K$149</f>
        <v>0</v>
      </c>
      <c r="AR149" s="6" t="s">
        <v>148</v>
      </c>
      <c r="AT149" s="6" t="s">
        <v>144</v>
      </c>
      <c r="AU149" s="6" t="s">
        <v>101</v>
      </c>
      <c r="AY149" s="6" t="s">
        <v>143</v>
      </c>
      <c r="BE149" s="76">
        <f>IF($U$149="základní",$N$149,0)</f>
        <v>0</v>
      </c>
      <c r="BF149" s="76">
        <f>IF($U$149="snížená",$N$149,0)</f>
        <v>0</v>
      </c>
      <c r="BG149" s="76">
        <f>IF($U$149="zákl. přenesená",$N$149,0)</f>
        <v>0</v>
      </c>
      <c r="BH149" s="76">
        <f>IF($U$149="sníž. přenesená",$N$149,0)</f>
        <v>0</v>
      </c>
      <c r="BI149" s="76">
        <f>IF($U$149="nulová",$N$149,0)</f>
        <v>0</v>
      </c>
      <c r="BJ149" s="6" t="s">
        <v>17</v>
      </c>
      <c r="BK149" s="76">
        <f>ROUND($L$149*$K$149,2)</f>
        <v>0</v>
      </c>
      <c r="BL149" s="6" t="s">
        <v>148</v>
      </c>
    </row>
    <row r="150" spans="2:51" s="6" customFormat="1" ht="15.75" customHeight="1">
      <c r="B150" s="125"/>
      <c r="E150" s="126"/>
      <c r="F150" s="192" t="s">
        <v>196</v>
      </c>
      <c r="G150" s="193"/>
      <c r="H150" s="193"/>
      <c r="I150" s="193"/>
      <c r="K150" s="127">
        <v>1.1</v>
      </c>
      <c r="R150" s="128"/>
      <c r="T150" s="129"/>
      <c r="AA150" s="130"/>
      <c r="AT150" s="126" t="s">
        <v>156</v>
      </c>
      <c r="AU150" s="126" t="s">
        <v>101</v>
      </c>
      <c r="AV150" s="126" t="s">
        <v>101</v>
      </c>
      <c r="AW150" s="126" t="s">
        <v>108</v>
      </c>
      <c r="AX150" s="126" t="s">
        <v>75</v>
      </c>
      <c r="AY150" s="126" t="s">
        <v>143</v>
      </c>
    </row>
    <row r="151" spans="2:64" s="6" customFormat="1" ht="27" customHeight="1">
      <c r="B151" s="20"/>
      <c r="C151" s="118" t="s">
        <v>197</v>
      </c>
      <c r="D151" s="118" t="s">
        <v>144</v>
      </c>
      <c r="E151" s="119" t="s">
        <v>198</v>
      </c>
      <c r="F151" s="191" t="s">
        <v>199</v>
      </c>
      <c r="G151" s="189"/>
      <c r="H151" s="189"/>
      <c r="I151" s="189"/>
      <c r="J151" s="120" t="s">
        <v>180</v>
      </c>
      <c r="K151" s="121">
        <v>6.967</v>
      </c>
      <c r="L151" s="188">
        <v>0</v>
      </c>
      <c r="M151" s="189"/>
      <c r="N151" s="190">
        <f>ROUND($L$151*$K$151,2)</f>
        <v>0</v>
      </c>
      <c r="O151" s="189"/>
      <c r="P151" s="189"/>
      <c r="Q151" s="189"/>
      <c r="R151" s="21"/>
      <c r="T151" s="122"/>
      <c r="U151" s="27" t="s">
        <v>40</v>
      </c>
      <c r="V151" s="123">
        <v>0.859</v>
      </c>
      <c r="W151" s="123">
        <f>$V$151*$K$151</f>
        <v>5.984653</v>
      </c>
      <c r="X151" s="123">
        <v>0.00126</v>
      </c>
      <c r="Y151" s="123">
        <f>$X$151*$K$151</f>
        <v>0.00877842</v>
      </c>
      <c r="Z151" s="123">
        <v>0</v>
      </c>
      <c r="AA151" s="124">
        <f>$Z$151*$K$151</f>
        <v>0</v>
      </c>
      <c r="AR151" s="6" t="s">
        <v>148</v>
      </c>
      <c r="AT151" s="6" t="s">
        <v>144</v>
      </c>
      <c r="AU151" s="6" t="s">
        <v>101</v>
      </c>
      <c r="AY151" s="6" t="s">
        <v>143</v>
      </c>
      <c r="BE151" s="76">
        <f>IF($U$151="základní",$N$151,0)</f>
        <v>0</v>
      </c>
      <c r="BF151" s="76">
        <f>IF($U$151="snížená",$N$151,0)</f>
        <v>0</v>
      </c>
      <c r="BG151" s="76">
        <f>IF($U$151="zákl. přenesená",$N$151,0)</f>
        <v>0</v>
      </c>
      <c r="BH151" s="76">
        <f>IF($U$151="sníž. přenesená",$N$151,0)</f>
        <v>0</v>
      </c>
      <c r="BI151" s="76">
        <f>IF($U$151="nulová",$N$151,0)</f>
        <v>0</v>
      </c>
      <c r="BJ151" s="6" t="s">
        <v>17</v>
      </c>
      <c r="BK151" s="76">
        <f>ROUND($L$151*$K$151,2)</f>
        <v>0</v>
      </c>
      <c r="BL151" s="6" t="s">
        <v>148</v>
      </c>
    </row>
    <row r="152" spans="2:51" s="6" customFormat="1" ht="15.75" customHeight="1">
      <c r="B152" s="125"/>
      <c r="E152" s="126"/>
      <c r="F152" s="192" t="s">
        <v>200</v>
      </c>
      <c r="G152" s="193"/>
      <c r="H152" s="193"/>
      <c r="I152" s="193"/>
      <c r="K152" s="127">
        <v>6.967</v>
      </c>
      <c r="R152" s="128"/>
      <c r="T152" s="129"/>
      <c r="AA152" s="130"/>
      <c r="AT152" s="126" t="s">
        <v>156</v>
      </c>
      <c r="AU152" s="126" t="s">
        <v>101</v>
      </c>
      <c r="AV152" s="126" t="s">
        <v>101</v>
      </c>
      <c r="AW152" s="126" t="s">
        <v>108</v>
      </c>
      <c r="AX152" s="126" t="s">
        <v>75</v>
      </c>
      <c r="AY152" s="126" t="s">
        <v>143</v>
      </c>
    </row>
    <row r="153" spans="2:64" s="6" customFormat="1" ht="27" customHeight="1">
      <c r="B153" s="20"/>
      <c r="C153" s="118" t="s">
        <v>201</v>
      </c>
      <c r="D153" s="118" t="s">
        <v>144</v>
      </c>
      <c r="E153" s="119" t="s">
        <v>202</v>
      </c>
      <c r="F153" s="191" t="s">
        <v>203</v>
      </c>
      <c r="G153" s="189"/>
      <c r="H153" s="189"/>
      <c r="I153" s="189"/>
      <c r="J153" s="120" t="s">
        <v>180</v>
      </c>
      <c r="K153" s="121">
        <v>6.967</v>
      </c>
      <c r="L153" s="188">
        <v>0</v>
      </c>
      <c r="M153" s="189"/>
      <c r="N153" s="190">
        <f>ROUND($L$153*$K$153,2)</f>
        <v>0</v>
      </c>
      <c r="O153" s="189"/>
      <c r="P153" s="189"/>
      <c r="Q153" s="189"/>
      <c r="R153" s="21"/>
      <c r="T153" s="122"/>
      <c r="U153" s="27" t="s">
        <v>40</v>
      </c>
      <c r="V153" s="123">
        <v>0.237</v>
      </c>
      <c r="W153" s="123">
        <f>$V$153*$K$153</f>
        <v>1.6511789999999997</v>
      </c>
      <c r="X153" s="123">
        <v>0</v>
      </c>
      <c r="Y153" s="123">
        <f>$X$153*$K$153</f>
        <v>0</v>
      </c>
      <c r="Z153" s="123">
        <v>0</v>
      </c>
      <c r="AA153" s="124">
        <f>$Z$153*$K$153</f>
        <v>0</v>
      </c>
      <c r="AR153" s="6" t="s">
        <v>148</v>
      </c>
      <c r="AT153" s="6" t="s">
        <v>144</v>
      </c>
      <c r="AU153" s="6" t="s">
        <v>101</v>
      </c>
      <c r="AY153" s="6" t="s">
        <v>143</v>
      </c>
      <c r="BE153" s="76">
        <f>IF($U$153="základní",$N$153,0)</f>
        <v>0</v>
      </c>
      <c r="BF153" s="76">
        <f>IF($U$153="snížená",$N$153,0)</f>
        <v>0</v>
      </c>
      <c r="BG153" s="76">
        <f>IF($U$153="zákl. přenesená",$N$153,0)</f>
        <v>0</v>
      </c>
      <c r="BH153" s="76">
        <f>IF($U$153="sníž. přenesená",$N$153,0)</f>
        <v>0</v>
      </c>
      <c r="BI153" s="76">
        <f>IF($U$153="nulová",$N$153,0)</f>
        <v>0</v>
      </c>
      <c r="BJ153" s="6" t="s">
        <v>17</v>
      </c>
      <c r="BK153" s="76">
        <f>ROUND($L$153*$K$153,2)</f>
        <v>0</v>
      </c>
      <c r="BL153" s="6" t="s">
        <v>148</v>
      </c>
    </row>
    <row r="154" spans="2:64" s="6" customFormat="1" ht="27" customHeight="1">
      <c r="B154" s="20"/>
      <c r="C154" s="118" t="s">
        <v>204</v>
      </c>
      <c r="D154" s="118" t="s">
        <v>144</v>
      </c>
      <c r="E154" s="119" t="s">
        <v>205</v>
      </c>
      <c r="F154" s="191" t="s">
        <v>206</v>
      </c>
      <c r="G154" s="189"/>
      <c r="H154" s="189"/>
      <c r="I154" s="189"/>
      <c r="J154" s="120" t="s">
        <v>191</v>
      </c>
      <c r="K154" s="121">
        <v>0.132</v>
      </c>
      <c r="L154" s="188">
        <v>0</v>
      </c>
      <c r="M154" s="189"/>
      <c r="N154" s="190">
        <f>ROUND($L$154*$K$154,2)</f>
        <v>0</v>
      </c>
      <c r="O154" s="189"/>
      <c r="P154" s="189"/>
      <c r="Q154" s="189"/>
      <c r="R154" s="21"/>
      <c r="T154" s="122"/>
      <c r="U154" s="27" t="s">
        <v>40</v>
      </c>
      <c r="V154" s="123">
        <v>38.222</v>
      </c>
      <c r="W154" s="123">
        <f>$V$154*$K$154</f>
        <v>5.045304000000001</v>
      </c>
      <c r="X154" s="123">
        <v>1.05197</v>
      </c>
      <c r="Y154" s="123">
        <f>$X$154*$K$154</f>
        <v>0.13886004000000002</v>
      </c>
      <c r="Z154" s="123">
        <v>0</v>
      </c>
      <c r="AA154" s="124">
        <f>$Z$154*$K$154</f>
        <v>0</v>
      </c>
      <c r="AR154" s="6" t="s">
        <v>148</v>
      </c>
      <c r="AT154" s="6" t="s">
        <v>144</v>
      </c>
      <c r="AU154" s="6" t="s">
        <v>101</v>
      </c>
      <c r="AY154" s="6" t="s">
        <v>143</v>
      </c>
      <c r="BE154" s="76">
        <f>IF($U$154="základní",$N$154,0)</f>
        <v>0</v>
      </c>
      <c r="BF154" s="76">
        <f>IF($U$154="snížená",$N$154,0)</f>
        <v>0</v>
      </c>
      <c r="BG154" s="76">
        <f>IF($U$154="zákl. přenesená",$N$154,0)</f>
        <v>0</v>
      </c>
      <c r="BH154" s="76">
        <f>IF($U$154="sníž. přenesená",$N$154,0)</f>
        <v>0</v>
      </c>
      <c r="BI154" s="76">
        <f>IF($U$154="nulová",$N$154,0)</f>
        <v>0</v>
      </c>
      <c r="BJ154" s="6" t="s">
        <v>17</v>
      </c>
      <c r="BK154" s="76">
        <f>ROUND($L$154*$K$154,2)</f>
        <v>0</v>
      </c>
      <c r="BL154" s="6" t="s">
        <v>148</v>
      </c>
    </row>
    <row r="155" spans="2:51" s="6" customFormat="1" ht="15.75" customHeight="1">
      <c r="B155" s="125"/>
      <c r="E155" s="126"/>
      <c r="F155" s="192" t="s">
        <v>207</v>
      </c>
      <c r="G155" s="193"/>
      <c r="H155" s="193"/>
      <c r="I155" s="193"/>
      <c r="K155" s="127">
        <v>0.132</v>
      </c>
      <c r="R155" s="128"/>
      <c r="T155" s="129"/>
      <c r="AA155" s="130"/>
      <c r="AT155" s="126" t="s">
        <v>156</v>
      </c>
      <c r="AU155" s="126" t="s">
        <v>101</v>
      </c>
      <c r="AV155" s="126" t="s">
        <v>101</v>
      </c>
      <c r="AW155" s="126" t="s">
        <v>108</v>
      </c>
      <c r="AX155" s="126" t="s">
        <v>75</v>
      </c>
      <c r="AY155" s="126" t="s">
        <v>143</v>
      </c>
    </row>
    <row r="156" spans="2:64" s="6" customFormat="1" ht="27" customHeight="1">
      <c r="B156" s="20"/>
      <c r="C156" s="118" t="s">
        <v>208</v>
      </c>
      <c r="D156" s="118" t="s">
        <v>144</v>
      </c>
      <c r="E156" s="119" t="s">
        <v>209</v>
      </c>
      <c r="F156" s="191" t="s">
        <v>210</v>
      </c>
      <c r="G156" s="189"/>
      <c r="H156" s="189"/>
      <c r="I156" s="189"/>
      <c r="J156" s="120" t="s">
        <v>147</v>
      </c>
      <c r="K156" s="121">
        <v>21</v>
      </c>
      <c r="L156" s="188">
        <v>0</v>
      </c>
      <c r="M156" s="189"/>
      <c r="N156" s="190">
        <f>ROUND($L$156*$K$156,2)</f>
        <v>0</v>
      </c>
      <c r="O156" s="189"/>
      <c r="P156" s="189"/>
      <c r="Q156" s="189"/>
      <c r="R156" s="21"/>
      <c r="T156" s="122"/>
      <c r="U156" s="27" t="s">
        <v>40</v>
      </c>
      <c r="V156" s="123">
        <v>0.34</v>
      </c>
      <c r="W156" s="123">
        <f>$V$156*$K$156</f>
        <v>7.140000000000001</v>
      </c>
      <c r="X156" s="123">
        <v>0.17489</v>
      </c>
      <c r="Y156" s="123">
        <f>$X$156*$K$156</f>
        <v>3.67269</v>
      </c>
      <c r="Z156" s="123">
        <v>0</v>
      </c>
      <c r="AA156" s="124">
        <f>$Z$156*$K$156</f>
        <v>0</v>
      </c>
      <c r="AR156" s="6" t="s">
        <v>148</v>
      </c>
      <c r="AT156" s="6" t="s">
        <v>144</v>
      </c>
      <c r="AU156" s="6" t="s">
        <v>101</v>
      </c>
      <c r="AY156" s="6" t="s">
        <v>143</v>
      </c>
      <c r="BE156" s="76">
        <f>IF($U$156="základní",$N$156,0)</f>
        <v>0</v>
      </c>
      <c r="BF156" s="76">
        <f>IF($U$156="snížená",$N$156,0)</f>
        <v>0</v>
      </c>
      <c r="BG156" s="76">
        <f>IF($U$156="zákl. přenesená",$N$156,0)</f>
        <v>0</v>
      </c>
      <c r="BH156" s="76">
        <f>IF($U$156="sníž. přenesená",$N$156,0)</f>
        <v>0</v>
      </c>
      <c r="BI156" s="76">
        <f>IF($U$156="nulová",$N$156,0)</f>
        <v>0</v>
      </c>
      <c r="BJ156" s="6" t="s">
        <v>17</v>
      </c>
      <c r="BK156" s="76">
        <f>ROUND($L$156*$K$156,2)</f>
        <v>0</v>
      </c>
      <c r="BL156" s="6" t="s">
        <v>148</v>
      </c>
    </row>
    <row r="157" spans="2:64" s="6" customFormat="1" ht="15.75" customHeight="1">
      <c r="B157" s="20"/>
      <c r="C157" s="131" t="s">
        <v>21</v>
      </c>
      <c r="D157" s="131" t="s">
        <v>211</v>
      </c>
      <c r="E157" s="132" t="s">
        <v>212</v>
      </c>
      <c r="F157" s="194" t="s">
        <v>213</v>
      </c>
      <c r="G157" s="195"/>
      <c r="H157" s="195"/>
      <c r="I157" s="195"/>
      <c r="J157" s="133" t="s">
        <v>147</v>
      </c>
      <c r="K157" s="134">
        <v>21</v>
      </c>
      <c r="L157" s="196">
        <v>0</v>
      </c>
      <c r="M157" s="195"/>
      <c r="N157" s="197">
        <f>ROUND($L$157*$K$157,2)</f>
        <v>0</v>
      </c>
      <c r="O157" s="189"/>
      <c r="P157" s="189"/>
      <c r="Q157" s="189"/>
      <c r="R157" s="21"/>
      <c r="T157" s="122"/>
      <c r="U157" s="27" t="s">
        <v>40</v>
      </c>
      <c r="V157" s="123">
        <v>0</v>
      </c>
      <c r="W157" s="123">
        <f>$V$157*$K$157</f>
        <v>0</v>
      </c>
      <c r="X157" s="123">
        <v>0.0024</v>
      </c>
      <c r="Y157" s="123">
        <f>$X$157*$K$157</f>
        <v>0.05039999999999999</v>
      </c>
      <c r="Z157" s="123">
        <v>0</v>
      </c>
      <c r="AA157" s="124">
        <f>$Z$157*$K$157</f>
        <v>0</v>
      </c>
      <c r="AR157" s="6" t="s">
        <v>188</v>
      </c>
      <c r="AT157" s="6" t="s">
        <v>211</v>
      </c>
      <c r="AU157" s="6" t="s">
        <v>101</v>
      </c>
      <c r="AY157" s="6" t="s">
        <v>143</v>
      </c>
      <c r="BE157" s="76">
        <f>IF($U$157="základní",$N$157,0)</f>
        <v>0</v>
      </c>
      <c r="BF157" s="76">
        <f>IF($U$157="snížená",$N$157,0)</f>
        <v>0</v>
      </c>
      <c r="BG157" s="76">
        <f>IF($U$157="zákl. přenesená",$N$157,0)</f>
        <v>0</v>
      </c>
      <c r="BH157" s="76">
        <f>IF($U$157="sníž. přenesená",$N$157,0)</f>
        <v>0</v>
      </c>
      <c r="BI157" s="76">
        <f>IF($U$157="nulová",$N$157,0)</f>
        <v>0</v>
      </c>
      <c r="BJ157" s="6" t="s">
        <v>17</v>
      </c>
      <c r="BK157" s="76">
        <f>ROUND($L$157*$K$157,2)</f>
        <v>0</v>
      </c>
      <c r="BL157" s="6" t="s">
        <v>148</v>
      </c>
    </row>
    <row r="158" spans="2:64" s="6" customFormat="1" ht="27" customHeight="1">
      <c r="B158" s="20"/>
      <c r="C158" s="118" t="s">
        <v>214</v>
      </c>
      <c r="D158" s="118" t="s">
        <v>144</v>
      </c>
      <c r="E158" s="119" t="s">
        <v>215</v>
      </c>
      <c r="F158" s="191" t="s">
        <v>216</v>
      </c>
      <c r="G158" s="189"/>
      <c r="H158" s="189"/>
      <c r="I158" s="189"/>
      <c r="J158" s="120" t="s">
        <v>217</v>
      </c>
      <c r="K158" s="121">
        <v>55.45</v>
      </c>
      <c r="L158" s="188">
        <v>0</v>
      </c>
      <c r="M158" s="189"/>
      <c r="N158" s="190">
        <f>ROUND($L$158*$K$158,2)</f>
        <v>0</v>
      </c>
      <c r="O158" s="189"/>
      <c r="P158" s="189"/>
      <c r="Q158" s="189"/>
      <c r="R158" s="21"/>
      <c r="T158" s="122"/>
      <c r="U158" s="27" t="s">
        <v>40</v>
      </c>
      <c r="V158" s="123">
        <v>0.41</v>
      </c>
      <c r="W158" s="123">
        <f>$V$158*$K$158</f>
        <v>22.7345</v>
      </c>
      <c r="X158" s="123">
        <v>0</v>
      </c>
      <c r="Y158" s="123">
        <f>$X$158*$K$158</f>
        <v>0</v>
      </c>
      <c r="Z158" s="123">
        <v>0</v>
      </c>
      <c r="AA158" s="124">
        <f>$Z$158*$K$158</f>
        <v>0</v>
      </c>
      <c r="AR158" s="6" t="s">
        <v>148</v>
      </c>
      <c r="AT158" s="6" t="s">
        <v>144</v>
      </c>
      <c r="AU158" s="6" t="s">
        <v>101</v>
      </c>
      <c r="AY158" s="6" t="s">
        <v>143</v>
      </c>
      <c r="BE158" s="76">
        <f>IF($U$158="základní",$N$158,0)</f>
        <v>0</v>
      </c>
      <c r="BF158" s="76">
        <f>IF($U$158="snížená",$N$158,0)</f>
        <v>0</v>
      </c>
      <c r="BG158" s="76">
        <f>IF($U$158="zákl. přenesená",$N$158,0)</f>
        <v>0</v>
      </c>
      <c r="BH158" s="76">
        <f>IF($U$158="sníž. přenesená",$N$158,0)</f>
        <v>0</v>
      </c>
      <c r="BI158" s="76">
        <f>IF($U$158="nulová",$N$158,0)</f>
        <v>0</v>
      </c>
      <c r="BJ158" s="6" t="s">
        <v>17</v>
      </c>
      <c r="BK158" s="76">
        <f>ROUND($L$158*$K$158,2)</f>
        <v>0</v>
      </c>
      <c r="BL158" s="6" t="s">
        <v>148</v>
      </c>
    </row>
    <row r="159" spans="2:64" s="6" customFormat="1" ht="27" customHeight="1">
      <c r="B159" s="20"/>
      <c r="C159" s="131" t="s">
        <v>218</v>
      </c>
      <c r="D159" s="131" t="s">
        <v>211</v>
      </c>
      <c r="E159" s="132" t="s">
        <v>219</v>
      </c>
      <c r="F159" s="194" t="s">
        <v>220</v>
      </c>
      <c r="G159" s="195"/>
      <c r="H159" s="195"/>
      <c r="I159" s="195"/>
      <c r="J159" s="133" t="s">
        <v>217</v>
      </c>
      <c r="K159" s="134">
        <v>55.45</v>
      </c>
      <c r="L159" s="196">
        <v>0</v>
      </c>
      <c r="M159" s="195"/>
      <c r="N159" s="197">
        <f>ROUND($L$159*$K$159,2)</f>
        <v>0</v>
      </c>
      <c r="O159" s="189"/>
      <c r="P159" s="189"/>
      <c r="Q159" s="189"/>
      <c r="R159" s="21"/>
      <c r="T159" s="122"/>
      <c r="U159" s="27" t="s">
        <v>40</v>
      </c>
      <c r="V159" s="123">
        <v>0</v>
      </c>
      <c r="W159" s="123">
        <f>$V$159*$K$159</f>
        <v>0</v>
      </c>
      <c r="X159" s="123">
        <v>0.025</v>
      </c>
      <c r="Y159" s="123">
        <f>$X$159*$K$159</f>
        <v>1.3862500000000002</v>
      </c>
      <c r="Z159" s="123">
        <v>0</v>
      </c>
      <c r="AA159" s="124">
        <f>$Z$159*$K$159</f>
        <v>0</v>
      </c>
      <c r="AR159" s="6" t="s">
        <v>188</v>
      </c>
      <c r="AT159" s="6" t="s">
        <v>211</v>
      </c>
      <c r="AU159" s="6" t="s">
        <v>101</v>
      </c>
      <c r="AY159" s="6" t="s">
        <v>143</v>
      </c>
      <c r="BE159" s="76">
        <f>IF($U$159="základní",$N$159,0)</f>
        <v>0</v>
      </c>
      <c r="BF159" s="76">
        <f>IF($U$159="snížená",$N$159,0)</f>
        <v>0</v>
      </c>
      <c r="BG159" s="76">
        <f>IF($U$159="zákl. přenesená",$N$159,0)</f>
        <v>0</v>
      </c>
      <c r="BH159" s="76">
        <f>IF($U$159="sníž. přenesená",$N$159,0)</f>
        <v>0</v>
      </c>
      <c r="BI159" s="76">
        <f>IF($U$159="nulová",$N$159,0)</f>
        <v>0</v>
      </c>
      <c r="BJ159" s="6" t="s">
        <v>17</v>
      </c>
      <c r="BK159" s="76">
        <f>ROUND($L$159*$K$159,2)</f>
        <v>0</v>
      </c>
      <c r="BL159" s="6" t="s">
        <v>148</v>
      </c>
    </row>
    <row r="160" spans="2:63" s="108" customFormat="1" ht="30.75" customHeight="1">
      <c r="B160" s="109"/>
      <c r="D160" s="117" t="s">
        <v>113</v>
      </c>
      <c r="N160" s="181">
        <f>$BK$160</f>
        <v>0</v>
      </c>
      <c r="O160" s="182"/>
      <c r="P160" s="182"/>
      <c r="Q160" s="182"/>
      <c r="R160" s="112"/>
      <c r="T160" s="113"/>
      <c r="W160" s="114">
        <f>SUM($W$161:$W$162)</f>
        <v>49.33882</v>
      </c>
      <c r="Y160" s="114">
        <f>SUM($Y$161:$Y$162)</f>
        <v>0</v>
      </c>
      <c r="AA160" s="115">
        <f>SUM($AA$161:$AA$162)</f>
        <v>0</v>
      </c>
      <c r="AR160" s="111" t="s">
        <v>17</v>
      </c>
      <c r="AT160" s="111" t="s">
        <v>74</v>
      </c>
      <c r="AU160" s="111" t="s">
        <v>17</v>
      </c>
      <c r="AY160" s="111" t="s">
        <v>143</v>
      </c>
      <c r="BK160" s="116">
        <f>SUM($BK$161:$BK$162)</f>
        <v>0</v>
      </c>
    </row>
    <row r="161" spans="2:64" s="6" customFormat="1" ht="27" customHeight="1">
      <c r="B161" s="20"/>
      <c r="C161" s="118" t="s">
        <v>221</v>
      </c>
      <c r="D161" s="118" t="s">
        <v>144</v>
      </c>
      <c r="E161" s="119" t="s">
        <v>222</v>
      </c>
      <c r="F161" s="191" t="s">
        <v>223</v>
      </c>
      <c r="G161" s="189"/>
      <c r="H161" s="189"/>
      <c r="I161" s="189"/>
      <c r="J161" s="120" t="s">
        <v>180</v>
      </c>
      <c r="K161" s="121">
        <v>129.839</v>
      </c>
      <c r="L161" s="188">
        <v>0</v>
      </c>
      <c r="M161" s="189"/>
      <c r="N161" s="190">
        <f>ROUND($L$161*$K$161,2)</f>
        <v>0</v>
      </c>
      <c r="O161" s="189"/>
      <c r="P161" s="189"/>
      <c r="Q161" s="189"/>
      <c r="R161" s="21"/>
      <c r="T161" s="122"/>
      <c r="U161" s="27" t="s">
        <v>40</v>
      </c>
      <c r="V161" s="123">
        <v>0.38</v>
      </c>
      <c r="W161" s="123">
        <f>$V$161*$K$161</f>
        <v>49.33882</v>
      </c>
      <c r="X161" s="123">
        <v>0</v>
      </c>
      <c r="Y161" s="123">
        <f>$X$161*$K$161</f>
        <v>0</v>
      </c>
      <c r="Z161" s="123">
        <v>0</v>
      </c>
      <c r="AA161" s="124">
        <f>$Z$161*$K$161</f>
        <v>0</v>
      </c>
      <c r="AR161" s="6" t="s">
        <v>148</v>
      </c>
      <c r="AT161" s="6" t="s">
        <v>144</v>
      </c>
      <c r="AU161" s="6" t="s">
        <v>101</v>
      </c>
      <c r="AY161" s="6" t="s">
        <v>143</v>
      </c>
      <c r="BE161" s="76">
        <f>IF($U$161="základní",$N$161,0)</f>
        <v>0</v>
      </c>
      <c r="BF161" s="76">
        <f>IF($U$161="snížená",$N$161,0)</f>
        <v>0</v>
      </c>
      <c r="BG161" s="76">
        <f>IF($U$161="zákl. přenesená",$N$161,0)</f>
        <v>0</v>
      </c>
      <c r="BH161" s="76">
        <f>IF($U$161="sníž. přenesená",$N$161,0)</f>
        <v>0</v>
      </c>
      <c r="BI161" s="76">
        <f>IF($U$161="nulová",$N$161,0)</f>
        <v>0</v>
      </c>
      <c r="BJ161" s="6" t="s">
        <v>17</v>
      </c>
      <c r="BK161" s="76">
        <f>ROUND($L$161*$K$161,2)</f>
        <v>0</v>
      </c>
      <c r="BL161" s="6" t="s">
        <v>148</v>
      </c>
    </row>
    <row r="162" spans="2:51" s="6" customFormat="1" ht="15.75" customHeight="1">
      <c r="B162" s="125"/>
      <c r="E162" s="126"/>
      <c r="F162" s="192" t="s">
        <v>224</v>
      </c>
      <c r="G162" s="193"/>
      <c r="H162" s="193"/>
      <c r="I162" s="193"/>
      <c r="K162" s="127">
        <v>129.839</v>
      </c>
      <c r="R162" s="128"/>
      <c r="T162" s="129"/>
      <c r="AA162" s="130"/>
      <c r="AT162" s="126" t="s">
        <v>156</v>
      </c>
      <c r="AU162" s="126" t="s">
        <v>101</v>
      </c>
      <c r="AV162" s="126" t="s">
        <v>101</v>
      </c>
      <c r="AW162" s="126" t="s">
        <v>108</v>
      </c>
      <c r="AX162" s="126" t="s">
        <v>75</v>
      </c>
      <c r="AY162" s="126" t="s">
        <v>143</v>
      </c>
    </row>
    <row r="163" spans="2:63" s="108" customFormat="1" ht="30.75" customHeight="1">
      <c r="B163" s="109"/>
      <c r="D163" s="117" t="s">
        <v>114</v>
      </c>
      <c r="N163" s="181">
        <f>$BK$163</f>
        <v>0</v>
      </c>
      <c r="O163" s="182"/>
      <c r="P163" s="182"/>
      <c r="Q163" s="182"/>
      <c r="R163" s="112"/>
      <c r="T163" s="113"/>
      <c r="W163" s="114">
        <f>$W$164+SUM($W$165:$W$225)</f>
        <v>1372.452846</v>
      </c>
      <c r="Y163" s="114">
        <f>$Y$164+SUM($Y$165:$Y$225)</f>
        <v>36.64831002</v>
      </c>
      <c r="AA163" s="115">
        <f>$AA$164+SUM($AA$165:$AA$225)</f>
        <v>28.542137699999998</v>
      </c>
      <c r="AR163" s="111" t="s">
        <v>17</v>
      </c>
      <c r="AT163" s="111" t="s">
        <v>74</v>
      </c>
      <c r="AU163" s="111" t="s">
        <v>17</v>
      </c>
      <c r="AY163" s="111" t="s">
        <v>143</v>
      </c>
      <c r="BK163" s="116">
        <f>$BK$164+SUM($BK$165:$BK$225)</f>
        <v>0</v>
      </c>
    </row>
    <row r="164" spans="2:64" s="6" customFormat="1" ht="27" customHeight="1">
      <c r="B164" s="20"/>
      <c r="C164" s="118" t="s">
        <v>225</v>
      </c>
      <c r="D164" s="118" t="s">
        <v>144</v>
      </c>
      <c r="E164" s="119" t="s">
        <v>226</v>
      </c>
      <c r="F164" s="191" t="s">
        <v>227</v>
      </c>
      <c r="G164" s="189"/>
      <c r="H164" s="189"/>
      <c r="I164" s="189"/>
      <c r="J164" s="120" t="s">
        <v>217</v>
      </c>
      <c r="K164" s="121">
        <v>18.28</v>
      </c>
      <c r="L164" s="188">
        <v>0</v>
      </c>
      <c r="M164" s="189"/>
      <c r="N164" s="190">
        <f>ROUND($L$164*$K$164,2)</f>
        <v>0</v>
      </c>
      <c r="O164" s="189"/>
      <c r="P164" s="189"/>
      <c r="Q164" s="189"/>
      <c r="R164" s="21"/>
      <c r="T164" s="122"/>
      <c r="U164" s="27" t="s">
        <v>40</v>
      </c>
      <c r="V164" s="123">
        <v>0.24</v>
      </c>
      <c r="W164" s="123">
        <f>$V$164*$K$164</f>
        <v>4.3872</v>
      </c>
      <c r="X164" s="123">
        <v>0.00031</v>
      </c>
      <c r="Y164" s="123">
        <f>$X$164*$K$164</f>
        <v>0.0056668000000000005</v>
      </c>
      <c r="Z164" s="123">
        <v>0</v>
      </c>
      <c r="AA164" s="124">
        <f>$Z$164*$K$164</f>
        <v>0</v>
      </c>
      <c r="AR164" s="6" t="s">
        <v>148</v>
      </c>
      <c r="AT164" s="6" t="s">
        <v>144</v>
      </c>
      <c r="AU164" s="6" t="s">
        <v>101</v>
      </c>
      <c r="AY164" s="6" t="s">
        <v>143</v>
      </c>
      <c r="BE164" s="76">
        <f>IF($U$164="základní",$N$164,0)</f>
        <v>0</v>
      </c>
      <c r="BF164" s="76">
        <f>IF($U$164="snížená",$N$164,0)</f>
        <v>0</v>
      </c>
      <c r="BG164" s="76">
        <f>IF($U$164="zákl. přenesená",$N$164,0)</f>
        <v>0</v>
      </c>
      <c r="BH164" s="76">
        <f>IF($U$164="sníž. přenesená",$N$164,0)</f>
        <v>0</v>
      </c>
      <c r="BI164" s="76">
        <f>IF($U$164="nulová",$N$164,0)</f>
        <v>0</v>
      </c>
      <c r="BJ164" s="6" t="s">
        <v>17</v>
      </c>
      <c r="BK164" s="76">
        <f>ROUND($L$164*$K$164,2)</f>
        <v>0</v>
      </c>
      <c r="BL164" s="6" t="s">
        <v>148</v>
      </c>
    </row>
    <row r="165" spans="2:51" s="6" customFormat="1" ht="15.75" customHeight="1">
      <c r="B165" s="125"/>
      <c r="E165" s="126"/>
      <c r="F165" s="192" t="s">
        <v>228</v>
      </c>
      <c r="G165" s="193"/>
      <c r="H165" s="193"/>
      <c r="I165" s="193"/>
      <c r="K165" s="127">
        <v>18.28</v>
      </c>
      <c r="R165" s="128"/>
      <c r="T165" s="129"/>
      <c r="AA165" s="130"/>
      <c r="AT165" s="126" t="s">
        <v>156</v>
      </c>
      <c r="AU165" s="126" t="s">
        <v>101</v>
      </c>
      <c r="AV165" s="126" t="s">
        <v>101</v>
      </c>
      <c r="AW165" s="126" t="s">
        <v>108</v>
      </c>
      <c r="AX165" s="126" t="s">
        <v>75</v>
      </c>
      <c r="AY165" s="126" t="s">
        <v>143</v>
      </c>
    </row>
    <row r="166" spans="2:64" s="6" customFormat="1" ht="15.75" customHeight="1">
      <c r="B166" s="20"/>
      <c r="C166" s="118" t="s">
        <v>8</v>
      </c>
      <c r="D166" s="118" t="s">
        <v>144</v>
      </c>
      <c r="E166" s="119" t="s">
        <v>229</v>
      </c>
      <c r="F166" s="191" t="s">
        <v>230</v>
      </c>
      <c r="G166" s="189"/>
      <c r="H166" s="189"/>
      <c r="I166" s="189"/>
      <c r="J166" s="120" t="s">
        <v>217</v>
      </c>
      <c r="K166" s="121">
        <v>17</v>
      </c>
      <c r="L166" s="188">
        <v>0</v>
      </c>
      <c r="M166" s="189"/>
      <c r="N166" s="190">
        <f>ROUND($L$166*$K$166,2)</f>
        <v>0</v>
      </c>
      <c r="O166" s="189"/>
      <c r="P166" s="189"/>
      <c r="Q166" s="189"/>
      <c r="R166" s="21"/>
      <c r="T166" s="122"/>
      <c r="U166" s="27" t="s">
        <v>40</v>
      </c>
      <c r="V166" s="123">
        <v>0.65</v>
      </c>
      <c r="W166" s="123">
        <f>$V$166*$K$166</f>
        <v>11.05</v>
      </c>
      <c r="X166" s="123">
        <v>0.00176</v>
      </c>
      <c r="Y166" s="123">
        <f>$X$166*$K$166</f>
        <v>0.029920000000000002</v>
      </c>
      <c r="Z166" s="123">
        <v>0</v>
      </c>
      <c r="AA166" s="124">
        <f>$Z$166*$K$166</f>
        <v>0</v>
      </c>
      <c r="AR166" s="6" t="s">
        <v>148</v>
      </c>
      <c r="AT166" s="6" t="s">
        <v>144</v>
      </c>
      <c r="AU166" s="6" t="s">
        <v>101</v>
      </c>
      <c r="AY166" s="6" t="s">
        <v>143</v>
      </c>
      <c r="BE166" s="76">
        <f>IF($U$166="základní",$N$166,0)</f>
        <v>0</v>
      </c>
      <c r="BF166" s="76">
        <f>IF($U$166="snížená",$N$166,0)</f>
        <v>0</v>
      </c>
      <c r="BG166" s="76">
        <f>IF($U$166="zákl. přenesená",$N$166,0)</f>
        <v>0</v>
      </c>
      <c r="BH166" s="76">
        <f>IF($U$166="sníž. přenesená",$N$166,0)</f>
        <v>0</v>
      </c>
      <c r="BI166" s="76">
        <f>IF($U$166="nulová",$N$166,0)</f>
        <v>0</v>
      </c>
      <c r="BJ166" s="6" t="s">
        <v>17</v>
      </c>
      <c r="BK166" s="76">
        <f>ROUND($L$166*$K$166,2)</f>
        <v>0</v>
      </c>
      <c r="BL166" s="6" t="s">
        <v>148</v>
      </c>
    </row>
    <row r="167" spans="2:64" s="6" customFormat="1" ht="27" customHeight="1">
      <c r="B167" s="20"/>
      <c r="C167" s="118" t="s">
        <v>231</v>
      </c>
      <c r="D167" s="118" t="s">
        <v>144</v>
      </c>
      <c r="E167" s="119" t="s">
        <v>232</v>
      </c>
      <c r="F167" s="191" t="s">
        <v>233</v>
      </c>
      <c r="G167" s="189"/>
      <c r="H167" s="189"/>
      <c r="I167" s="189"/>
      <c r="J167" s="120" t="s">
        <v>147</v>
      </c>
      <c r="K167" s="121">
        <v>3</v>
      </c>
      <c r="L167" s="188">
        <v>0</v>
      </c>
      <c r="M167" s="189"/>
      <c r="N167" s="190">
        <f>ROUND($L$167*$K$167,2)</f>
        <v>0</v>
      </c>
      <c r="O167" s="189"/>
      <c r="P167" s="189"/>
      <c r="Q167" s="189"/>
      <c r="R167" s="21"/>
      <c r="T167" s="122"/>
      <c r="U167" s="27" t="s">
        <v>40</v>
      </c>
      <c r="V167" s="123">
        <v>0.355</v>
      </c>
      <c r="W167" s="123">
        <f>$V$167*$K$167</f>
        <v>1.065</v>
      </c>
      <c r="X167" s="123">
        <v>0.00092</v>
      </c>
      <c r="Y167" s="123">
        <f>$X$167*$K$167</f>
        <v>0.0027600000000000003</v>
      </c>
      <c r="Z167" s="123">
        <v>0</v>
      </c>
      <c r="AA167" s="124">
        <f>$Z$167*$K$167</f>
        <v>0</v>
      </c>
      <c r="AR167" s="6" t="s">
        <v>148</v>
      </c>
      <c r="AT167" s="6" t="s">
        <v>144</v>
      </c>
      <c r="AU167" s="6" t="s">
        <v>101</v>
      </c>
      <c r="AY167" s="6" t="s">
        <v>143</v>
      </c>
      <c r="BE167" s="76">
        <f>IF($U$167="základní",$N$167,0)</f>
        <v>0</v>
      </c>
      <c r="BF167" s="76">
        <f>IF($U$167="snížená",$N$167,0)</f>
        <v>0</v>
      </c>
      <c r="BG167" s="76">
        <f>IF($U$167="zákl. přenesená",$N$167,0)</f>
        <v>0</v>
      </c>
      <c r="BH167" s="76">
        <f>IF($U$167="sníž. přenesená",$N$167,0)</f>
        <v>0</v>
      </c>
      <c r="BI167" s="76">
        <f>IF($U$167="nulová",$N$167,0)</f>
        <v>0</v>
      </c>
      <c r="BJ167" s="6" t="s">
        <v>17</v>
      </c>
      <c r="BK167" s="76">
        <f>ROUND($L$167*$K$167,2)</f>
        <v>0</v>
      </c>
      <c r="BL167" s="6" t="s">
        <v>148</v>
      </c>
    </row>
    <row r="168" spans="2:64" s="6" customFormat="1" ht="27" customHeight="1">
      <c r="B168" s="20"/>
      <c r="C168" s="118" t="s">
        <v>234</v>
      </c>
      <c r="D168" s="118" t="s">
        <v>144</v>
      </c>
      <c r="E168" s="119" t="s">
        <v>235</v>
      </c>
      <c r="F168" s="191" t="s">
        <v>236</v>
      </c>
      <c r="G168" s="189"/>
      <c r="H168" s="189"/>
      <c r="I168" s="189"/>
      <c r="J168" s="120" t="s">
        <v>147</v>
      </c>
      <c r="K168" s="121">
        <v>113</v>
      </c>
      <c r="L168" s="188">
        <v>0</v>
      </c>
      <c r="M168" s="189"/>
      <c r="N168" s="190">
        <f>ROUND($L$168*$K$168,2)</f>
        <v>0</v>
      </c>
      <c r="O168" s="189"/>
      <c r="P168" s="189"/>
      <c r="Q168" s="189"/>
      <c r="R168" s="21"/>
      <c r="T168" s="122"/>
      <c r="U168" s="27" t="s">
        <v>40</v>
      </c>
      <c r="V168" s="123">
        <v>0.18</v>
      </c>
      <c r="W168" s="123">
        <f>$V$168*$K$168</f>
        <v>20.34</v>
      </c>
      <c r="X168" s="123">
        <v>5E-05</v>
      </c>
      <c r="Y168" s="123">
        <f>$X$168*$K$168</f>
        <v>0.0056500000000000005</v>
      </c>
      <c r="Z168" s="123">
        <v>0</v>
      </c>
      <c r="AA168" s="124">
        <f>$Z$168*$K$168</f>
        <v>0</v>
      </c>
      <c r="AR168" s="6" t="s">
        <v>148</v>
      </c>
      <c r="AT168" s="6" t="s">
        <v>144</v>
      </c>
      <c r="AU168" s="6" t="s">
        <v>101</v>
      </c>
      <c r="AY168" s="6" t="s">
        <v>143</v>
      </c>
      <c r="BE168" s="76">
        <f>IF($U$168="základní",$N$168,0)</f>
        <v>0</v>
      </c>
      <c r="BF168" s="76">
        <f>IF($U$168="snížená",$N$168,0)</f>
        <v>0</v>
      </c>
      <c r="BG168" s="76">
        <f>IF($U$168="zákl. přenesená",$N$168,0)</f>
        <v>0</v>
      </c>
      <c r="BH168" s="76">
        <f>IF($U$168="sníž. přenesená",$N$168,0)</f>
        <v>0</v>
      </c>
      <c r="BI168" s="76">
        <f>IF($U$168="nulová",$N$168,0)</f>
        <v>0</v>
      </c>
      <c r="BJ168" s="6" t="s">
        <v>17</v>
      </c>
      <c r="BK168" s="76">
        <f>ROUND($L$168*$K$168,2)</f>
        <v>0</v>
      </c>
      <c r="BL168" s="6" t="s">
        <v>148</v>
      </c>
    </row>
    <row r="169" spans="2:64" s="6" customFormat="1" ht="27" customHeight="1">
      <c r="B169" s="20"/>
      <c r="C169" s="118" t="s">
        <v>237</v>
      </c>
      <c r="D169" s="118" t="s">
        <v>144</v>
      </c>
      <c r="E169" s="119" t="s">
        <v>238</v>
      </c>
      <c r="F169" s="191" t="s">
        <v>239</v>
      </c>
      <c r="G169" s="189"/>
      <c r="H169" s="189"/>
      <c r="I169" s="189"/>
      <c r="J169" s="120" t="s">
        <v>240</v>
      </c>
      <c r="K169" s="121">
        <v>1</v>
      </c>
      <c r="L169" s="188">
        <v>0</v>
      </c>
      <c r="M169" s="189"/>
      <c r="N169" s="190">
        <f>ROUND($L$169*$K$169,2)</f>
        <v>0</v>
      </c>
      <c r="O169" s="189"/>
      <c r="P169" s="189"/>
      <c r="Q169" s="189"/>
      <c r="R169" s="21"/>
      <c r="T169" s="122"/>
      <c r="U169" s="27" t="s">
        <v>40</v>
      </c>
      <c r="V169" s="123">
        <v>0.093</v>
      </c>
      <c r="W169" s="123">
        <f>$V$169*$K$169</f>
        <v>0.093</v>
      </c>
      <c r="X169" s="123">
        <v>0.00057</v>
      </c>
      <c r="Y169" s="123">
        <f>$X$169*$K$169</f>
        <v>0.00057</v>
      </c>
      <c r="Z169" s="123">
        <v>0</v>
      </c>
      <c r="AA169" s="124">
        <f>$Z$169*$K$169</f>
        <v>0</v>
      </c>
      <c r="AR169" s="6" t="s">
        <v>148</v>
      </c>
      <c r="AT169" s="6" t="s">
        <v>144</v>
      </c>
      <c r="AU169" s="6" t="s">
        <v>101</v>
      </c>
      <c r="AY169" s="6" t="s">
        <v>143</v>
      </c>
      <c r="BE169" s="76">
        <f>IF($U$169="základní",$N$169,0)</f>
        <v>0</v>
      </c>
      <c r="BF169" s="76">
        <f>IF($U$169="snížená",$N$169,0)</f>
        <v>0</v>
      </c>
      <c r="BG169" s="76">
        <f>IF($U$169="zákl. přenesená",$N$169,0)</f>
        <v>0</v>
      </c>
      <c r="BH169" s="76">
        <f>IF($U$169="sníž. přenesená",$N$169,0)</f>
        <v>0</v>
      </c>
      <c r="BI169" s="76">
        <f>IF($U$169="nulová",$N$169,0)</f>
        <v>0</v>
      </c>
      <c r="BJ169" s="6" t="s">
        <v>17</v>
      </c>
      <c r="BK169" s="76">
        <f>ROUND($L$169*$K$169,2)</f>
        <v>0</v>
      </c>
      <c r="BL169" s="6" t="s">
        <v>148</v>
      </c>
    </row>
    <row r="170" spans="2:64" s="6" customFormat="1" ht="15.75" customHeight="1">
      <c r="B170" s="20"/>
      <c r="C170" s="118" t="s">
        <v>241</v>
      </c>
      <c r="D170" s="118" t="s">
        <v>144</v>
      </c>
      <c r="E170" s="119" t="s">
        <v>242</v>
      </c>
      <c r="F170" s="191" t="s">
        <v>243</v>
      </c>
      <c r="G170" s="189"/>
      <c r="H170" s="189"/>
      <c r="I170" s="189"/>
      <c r="J170" s="120" t="s">
        <v>154</v>
      </c>
      <c r="K170" s="121">
        <v>5.1</v>
      </c>
      <c r="L170" s="188">
        <v>0</v>
      </c>
      <c r="M170" s="189"/>
      <c r="N170" s="190">
        <f>ROUND($L$170*$K$170,2)</f>
        <v>0</v>
      </c>
      <c r="O170" s="189"/>
      <c r="P170" s="189"/>
      <c r="Q170" s="189"/>
      <c r="R170" s="21"/>
      <c r="T170" s="122"/>
      <c r="U170" s="27" t="s">
        <v>40</v>
      </c>
      <c r="V170" s="123">
        <v>8.933</v>
      </c>
      <c r="W170" s="123">
        <f>$V$170*$K$170</f>
        <v>45.558299999999996</v>
      </c>
      <c r="X170" s="123">
        <v>0</v>
      </c>
      <c r="Y170" s="123">
        <f>$X$170*$K$170</f>
        <v>0</v>
      </c>
      <c r="Z170" s="123">
        <v>2.4</v>
      </c>
      <c r="AA170" s="124">
        <f>$Z$170*$K$170</f>
        <v>12.239999999999998</v>
      </c>
      <c r="AR170" s="6" t="s">
        <v>148</v>
      </c>
      <c r="AT170" s="6" t="s">
        <v>144</v>
      </c>
      <c r="AU170" s="6" t="s">
        <v>101</v>
      </c>
      <c r="AY170" s="6" t="s">
        <v>143</v>
      </c>
      <c r="BE170" s="76">
        <f>IF($U$170="základní",$N$170,0)</f>
        <v>0</v>
      </c>
      <c r="BF170" s="76">
        <f>IF($U$170="snížená",$N$170,0)</f>
        <v>0</v>
      </c>
      <c r="BG170" s="76">
        <f>IF($U$170="zákl. přenesená",$N$170,0)</f>
        <v>0</v>
      </c>
      <c r="BH170" s="76">
        <f>IF($U$170="sníž. přenesená",$N$170,0)</f>
        <v>0</v>
      </c>
      <c r="BI170" s="76">
        <f>IF($U$170="nulová",$N$170,0)</f>
        <v>0</v>
      </c>
      <c r="BJ170" s="6" t="s">
        <v>17</v>
      </c>
      <c r="BK170" s="76">
        <f>ROUND($L$170*$K$170,2)</f>
        <v>0</v>
      </c>
      <c r="BL170" s="6" t="s">
        <v>148</v>
      </c>
    </row>
    <row r="171" spans="2:51" s="6" customFormat="1" ht="15.75" customHeight="1">
      <c r="B171" s="125"/>
      <c r="E171" s="126"/>
      <c r="F171" s="192" t="s">
        <v>244</v>
      </c>
      <c r="G171" s="193"/>
      <c r="H171" s="193"/>
      <c r="I171" s="193"/>
      <c r="K171" s="127">
        <v>0.541</v>
      </c>
      <c r="R171" s="128"/>
      <c r="T171" s="129"/>
      <c r="AA171" s="130"/>
      <c r="AT171" s="126" t="s">
        <v>156</v>
      </c>
      <c r="AU171" s="126" t="s">
        <v>101</v>
      </c>
      <c r="AV171" s="126" t="s">
        <v>101</v>
      </c>
      <c r="AW171" s="126" t="s">
        <v>108</v>
      </c>
      <c r="AX171" s="126" t="s">
        <v>75</v>
      </c>
      <c r="AY171" s="126" t="s">
        <v>143</v>
      </c>
    </row>
    <row r="172" spans="2:51" s="6" customFormat="1" ht="15.75" customHeight="1">
      <c r="B172" s="125"/>
      <c r="E172" s="126"/>
      <c r="F172" s="192" t="s">
        <v>245</v>
      </c>
      <c r="G172" s="193"/>
      <c r="H172" s="193"/>
      <c r="I172" s="193"/>
      <c r="K172" s="127">
        <v>0.401</v>
      </c>
      <c r="R172" s="128"/>
      <c r="T172" s="129"/>
      <c r="AA172" s="130"/>
      <c r="AT172" s="126" t="s">
        <v>156</v>
      </c>
      <c r="AU172" s="126" t="s">
        <v>101</v>
      </c>
      <c r="AV172" s="126" t="s">
        <v>101</v>
      </c>
      <c r="AW172" s="126" t="s">
        <v>108</v>
      </c>
      <c r="AX172" s="126" t="s">
        <v>75</v>
      </c>
      <c r="AY172" s="126" t="s">
        <v>143</v>
      </c>
    </row>
    <row r="173" spans="2:51" s="6" customFormat="1" ht="15.75" customHeight="1">
      <c r="B173" s="125"/>
      <c r="E173" s="126"/>
      <c r="F173" s="192" t="s">
        <v>246</v>
      </c>
      <c r="G173" s="193"/>
      <c r="H173" s="193"/>
      <c r="I173" s="193"/>
      <c r="K173" s="127">
        <v>0.293</v>
      </c>
      <c r="R173" s="128"/>
      <c r="T173" s="129"/>
      <c r="AA173" s="130"/>
      <c r="AT173" s="126" t="s">
        <v>156</v>
      </c>
      <c r="AU173" s="126" t="s">
        <v>101</v>
      </c>
      <c r="AV173" s="126" t="s">
        <v>101</v>
      </c>
      <c r="AW173" s="126" t="s">
        <v>108</v>
      </c>
      <c r="AX173" s="126" t="s">
        <v>75</v>
      </c>
      <c r="AY173" s="126" t="s">
        <v>143</v>
      </c>
    </row>
    <row r="174" spans="2:51" s="6" customFormat="1" ht="15.75" customHeight="1">
      <c r="B174" s="125"/>
      <c r="E174" s="126"/>
      <c r="F174" s="192" t="s">
        <v>247</v>
      </c>
      <c r="G174" s="193"/>
      <c r="H174" s="193"/>
      <c r="I174" s="193"/>
      <c r="K174" s="127">
        <v>0.331</v>
      </c>
      <c r="R174" s="128"/>
      <c r="T174" s="129"/>
      <c r="AA174" s="130"/>
      <c r="AT174" s="126" t="s">
        <v>156</v>
      </c>
      <c r="AU174" s="126" t="s">
        <v>101</v>
      </c>
      <c r="AV174" s="126" t="s">
        <v>101</v>
      </c>
      <c r="AW174" s="126" t="s">
        <v>108</v>
      </c>
      <c r="AX174" s="126" t="s">
        <v>75</v>
      </c>
      <c r="AY174" s="126" t="s">
        <v>143</v>
      </c>
    </row>
    <row r="175" spans="2:51" s="6" customFormat="1" ht="15.75" customHeight="1">
      <c r="B175" s="125"/>
      <c r="E175" s="126"/>
      <c r="F175" s="192" t="s">
        <v>248</v>
      </c>
      <c r="G175" s="193"/>
      <c r="H175" s="193"/>
      <c r="I175" s="193"/>
      <c r="K175" s="127">
        <v>1.472</v>
      </c>
      <c r="R175" s="128"/>
      <c r="T175" s="129"/>
      <c r="AA175" s="130"/>
      <c r="AT175" s="126" t="s">
        <v>156</v>
      </c>
      <c r="AU175" s="126" t="s">
        <v>101</v>
      </c>
      <c r="AV175" s="126" t="s">
        <v>101</v>
      </c>
      <c r="AW175" s="126" t="s">
        <v>108</v>
      </c>
      <c r="AX175" s="126" t="s">
        <v>75</v>
      </c>
      <c r="AY175" s="126" t="s">
        <v>143</v>
      </c>
    </row>
    <row r="176" spans="2:51" s="6" customFormat="1" ht="15.75" customHeight="1">
      <c r="B176" s="125"/>
      <c r="E176" s="126"/>
      <c r="F176" s="192" t="s">
        <v>249</v>
      </c>
      <c r="G176" s="193"/>
      <c r="H176" s="193"/>
      <c r="I176" s="193"/>
      <c r="K176" s="127">
        <v>0.27</v>
      </c>
      <c r="R176" s="128"/>
      <c r="T176" s="129"/>
      <c r="AA176" s="130"/>
      <c r="AT176" s="126" t="s">
        <v>156</v>
      </c>
      <c r="AU176" s="126" t="s">
        <v>101</v>
      </c>
      <c r="AV176" s="126" t="s">
        <v>101</v>
      </c>
      <c r="AW176" s="126" t="s">
        <v>108</v>
      </c>
      <c r="AX176" s="126" t="s">
        <v>75</v>
      </c>
      <c r="AY176" s="126" t="s">
        <v>143</v>
      </c>
    </row>
    <row r="177" spans="2:51" s="6" customFormat="1" ht="15.75" customHeight="1">
      <c r="B177" s="125"/>
      <c r="E177" s="126"/>
      <c r="F177" s="192" t="s">
        <v>250</v>
      </c>
      <c r="G177" s="193"/>
      <c r="H177" s="193"/>
      <c r="I177" s="193"/>
      <c r="K177" s="127">
        <v>0.591</v>
      </c>
      <c r="R177" s="128"/>
      <c r="T177" s="129"/>
      <c r="AA177" s="130"/>
      <c r="AT177" s="126" t="s">
        <v>156</v>
      </c>
      <c r="AU177" s="126" t="s">
        <v>101</v>
      </c>
      <c r="AV177" s="126" t="s">
        <v>101</v>
      </c>
      <c r="AW177" s="126" t="s">
        <v>108</v>
      </c>
      <c r="AX177" s="126" t="s">
        <v>75</v>
      </c>
      <c r="AY177" s="126" t="s">
        <v>143</v>
      </c>
    </row>
    <row r="178" spans="2:51" s="6" customFormat="1" ht="15.75" customHeight="1">
      <c r="B178" s="125"/>
      <c r="E178" s="126"/>
      <c r="F178" s="192" t="s">
        <v>251</v>
      </c>
      <c r="G178" s="193"/>
      <c r="H178" s="193"/>
      <c r="I178" s="193"/>
      <c r="K178" s="127">
        <v>0.307</v>
      </c>
      <c r="R178" s="128"/>
      <c r="T178" s="129"/>
      <c r="AA178" s="130"/>
      <c r="AT178" s="126" t="s">
        <v>156</v>
      </c>
      <c r="AU178" s="126" t="s">
        <v>101</v>
      </c>
      <c r="AV178" s="126" t="s">
        <v>101</v>
      </c>
      <c r="AW178" s="126" t="s">
        <v>108</v>
      </c>
      <c r="AX178" s="126" t="s">
        <v>75</v>
      </c>
      <c r="AY178" s="126" t="s">
        <v>143</v>
      </c>
    </row>
    <row r="179" spans="2:51" s="6" customFormat="1" ht="15.75" customHeight="1">
      <c r="B179" s="125"/>
      <c r="E179" s="126"/>
      <c r="F179" s="192" t="s">
        <v>252</v>
      </c>
      <c r="G179" s="193"/>
      <c r="H179" s="193"/>
      <c r="I179" s="193"/>
      <c r="K179" s="127">
        <v>0.291</v>
      </c>
      <c r="R179" s="128"/>
      <c r="T179" s="129"/>
      <c r="AA179" s="130"/>
      <c r="AT179" s="126" t="s">
        <v>156</v>
      </c>
      <c r="AU179" s="126" t="s">
        <v>101</v>
      </c>
      <c r="AV179" s="126" t="s">
        <v>101</v>
      </c>
      <c r="AW179" s="126" t="s">
        <v>108</v>
      </c>
      <c r="AX179" s="126" t="s">
        <v>75</v>
      </c>
      <c r="AY179" s="126" t="s">
        <v>143</v>
      </c>
    </row>
    <row r="180" spans="2:51" s="6" customFormat="1" ht="15.75" customHeight="1">
      <c r="B180" s="125"/>
      <c r="E180" s="126"/>
      <c r="F180" s="192" t="s">
        <v>253</v>
      </c>
      <c r="G180" s="193"/>
      <c r="H180" s="193"/>
      <c r="I180" s="193"/>
      <c r="K180" s="127">
        <v>0.315</v>
      </c>
      <c r="R180" s="128"/>
      <c r="T180" s="129"/>
      <c r="AA180" s="130"/>
      <c r="AT180" s="126" t="s">
        <v>156</v>
      </c>
      <c r="AU180" s="126" t="s">
        <v>101</v>
      </c>
      <c r="AV180" s="126" t="s">
        <v>101</v>
      </c>
      <c r="AW180" s="126" t="s">
        <v>108</v>
      </c>
      <c r="AX180" s="126" t="s">
        <v>75</v>
      </c>
      <c r="AY180" s="126" t="s">
        <v>143</v>
      </c>
    </row>
    <row r="181" spans="2:51" s="6" customFormat="1" ht="15.75" customHeight="1">
      <c r="B181" s="125"/>
      <c r="E181" s="126"/>
      <c r="F181" s="192" t="s">
        <v>254</v>
      </c>
      <c r="G181" s="193"/>
      <c r="H181" s="193"/>
      <c r="I181" s="193"/>
      <c r="K181" s="127">
        <v>0.288</v>
      </c>
      <c r="R181" s="128"/>
      <c r="T181" s="129"/>
      <c r="AA181" s="130"/>
      <c r="AT181" s="126" t="s">
        <v>156</v>
      </c>
      <c r="AU181" s="126" t="s">
        <v>101</v>
      </c>
      <c r="AV181" s="126" t="s">
        <v>101</v>
      </c>
      <c r="AW181" s="126" t="s">
        <v>108</v>
      </c>
      <c r="AX181" s="126" t="s">
        <v>75</v>
      </c>
      <c r="AY181" s="126" t="s">
        <v>143</v>
      </c>
    </row>
    <row r="182" spans="2:64" s="6" customFormat="1" ht="27" customHeight="1">
      <c r="B182" s="20"/>
      <c r="C182" s="118" t="s">
        <v>255</v>
      </c>
      <c r="D182" s="118" t="s">
        <v>144</v>
      </c>
      <c r="E182" s="119" t="s">
        <v>256</v>
      </c>
      <c r="F182" s="191" t="s">
        <v>257</v>
      </c>
      <c r="G182" s="189"/>
      <c r="H182" s="189"/>
      <c r="I182" s="189"/>
      <c r="J182" s="120" t="s">
        <v>217</v>
      </c>
      <c r="K182" s="121">
        <v>49.295</v>
      </c>
      <c r="L182" s="188">
        <v>0</v>
      </c>
      <c r="M182" s="189"/>
      <c r="N182" s="190">
        <f>ROUND($L$182*$K$182,2)</f>
        <v>0</v>
      </c>
      <c r="O182" s="189"/>
      <c r="P182" s="189"/>
      <c r="Q182" s="189"/>
      <c r="R182" s="21"/>
      <c r="T182" s="122"/>
      <c r="U182" s="27" t="s">
        <v>40</v>
      </c>
      <c r="V182" s="123">
        <v>0.28</v>
      </c>
      <c r="W182" s="123">
        <f>$V$182*$K$182</f>
        <v>13.802600000000002</v>
      </c>
      <c r="X182" s="123">
        <v>0</v>
      </c>
      <c r="Y182" s="123">
        <f>$X$182*$K$182</f>
        <v>0</v>
      </c>
      <c r="Z182" s="123">
        <v>0.04</v>
      </c>
      <c r="AA182" s="124">
        <f>$Z$182*$K$182</f>
        <v>1.9718000000000002</v>
      </c>
      <c r="AR182" s="6" t="s">
        <v>148</v>
      </c>
      <c r="AT182" s="6" t="s">
        <v>144</v>
      </c>
      <c r="AU182" s="6" t="s">
        <v>101</v>
      </c>
      <c r="AY182" s="6" t="s">
        <v>143</v>
      </c>
      <c r="BE182" s="76">
        <f>IF($U$182="základní",$N$182,0)</f>
        <v>0</v>
      </c>
      <c r="BF182" s="76">
        <f>IF($U$182="snížená",$N$182,0)</f>
        <v>0</v>
      </c>
      <c r="BG182" s="76">
        <f>IF($U$182="zákl. přenesená",$N$182,0)</f>
        <v>0</v>
      </c>
      <c r="BH182" s="76">
        <f>IF($U$182="sníž. přenesená",$N$182,0)</f>
        <v>0</v>
      </c>
      <c r="BI182" s="76">
        <f>IF($U$182="nulová",$N$182,0)</f>
        <v>0</v>
      </c>
      <c r="BJ182" s="6" t="s">
        <v>17</v>
      </c>
      <c r="BK182" s="76">
        <f>ROUND($L$182*$K$182,2)</f>
        <v>0</v>
      </c>
      <c r="BL182" s="6" t="s">
        <v>148</v>
      </c>
    </row>
    <row r="183" spans="2:64" s="6" customFormat="1" ht="15.75" customHeight="1">
      <c r="B183" s="20"/>
      <c r="C183" s="118" t="s">
        <v>258</v>
      </c>
      <c r="D183" s="118" t="s">
        <v>144</v>
      </c>
      <c r="E183" s="119" t="s">
        <v>259</v>
      </c>
      <c r="F183" s="191" t="s">
        <v>260</v>
      </c>
      <c r="G183" s="189"/>
      <c r="H183" s="189"/>
      <c r="I183" s="189"/>
      <c r="J183" s="120" t="s">
        <v>217</v>
      </c>
      <c r="K183" s="121">
        <v>49.295</v>
      </c>
      <c r="L183" s="188">
        <v>0</v>
      </c>
      <c r="M183" s="189"/>
      <c r="N183" s="190">
        <f>ROUND($L$183*$K$183,2)</f>
        <v>0</v>
      </c>
      <c r="O183" s="189"/>
      <c r="P183" s="189"/>
      <c r="Q183" s="189"/>
      <c r="R183" s="21"/>
      <c r="T183" s="122"/>
      <c r="U183" s="27" t="s">
        <v>40</v>
      </c>
      <c r="V183" s="123">
        <v>1.35</v>
      </c>
      <c r="W183" s="123">
        <f>$V$183*$K$183</f>
        <v>66.54825000000001</v>
      </c>
      <c r="X183" s="123">
        <v>0</v>
      </c>
      <c r="Y183" s="123">
        <f>$X$183*$K$183</f>
        <v>0</v>
      </c>
      <c r="Z183" s="123">
        <v>0.108</v>
      </c>
      <c r="AA183" s="124">
        <f>$Z$183*$K$183</f>
        <v>5.32386</v>
      </c>
      <c r="AR183" s="6" t="s">
        <v>148</v>
      </c>
      <c r="AT183" s="6" t="s">
        <v>144</v>
      </c>
      <c r="AU183" s="6" t="s">
        <v>101</v>
      </c>
      <c r="AY183" s="6" t="s">
        <v>143</v>
      </c>
      <c r="BE183" s="76">
        <f>IF($U$183="základní",$N$183,0)</f>
        <v>0</v>
      </c>
      <c r="BF183" s="76">
        <f>IF($U$183="snížená",$N$183,0)</f>
        <v>0</v>
      </c>
      <c r="BG183" s="76">
        <f>IF($U$183="zákl. přenesená",$N$183,0)</f>
        <v>0</v>
      </c>
      <c r="BH183" s="76">
        <f>IF($U$183="sníž. přenesená",$N$183,0)</f>
        <v>0</v>
      </c>
      <c r="BI183" s="76">
        <f>IF($U$183="nulová",$N$183,0)</f>
        <v>0</v>
      </c>
      <c r="BJ183" s="6" t="s">
        <v>17</v>
      </c>
      <c r="BK183" s="76">
        <f>ROUND($L$183*$K$183,2)</f>
        <v>0</v>
      </c>
      <c r="BL183" s="6" t="s">
        <v>148</v>
      </c>
    </row>
    <row r="184" spans="2:51" s="6" customFormat="1" ht="27" customHeight="1">
      <c r="B184" s="125"/>
      <c r="E184" s="126"/>
      <c r="F184" s="192" t="s">
        <v>261</v>
      </c>
      <c r="G184" s="193"/>
      <c r="H184" s="193"/>
      <c r="I184" s="193"/>
      <c r="K184" s="127">
        <v>49.295</v>
      </c>
      <c r="R184" s="128"/>
      <c r="T184" s="129"/>
      <c r="AA184" s="130"/>
      <c r="AT184" s="126" t="s">
        <v>156</v>
      </c>
      <c r="AU184" s="126" t="s">
        <v>101</v>
      </c>
      <c r="AV184" s="126" t="s">
        <v>101</v>
      </c>
      <c r="AW184" s="126" t="s">
        <v>108</v>
      </c>
      <c r="AX184" s="126" t="s">
        <v>75</v>
      </c>
      <c r="AY184" s="126" t="s">
        <v>143</v>
      </c>
    </row>
    <row r="185" spans="2:64" s="6" customFormat="1" ht="27" customHeight="1">
      <c r="B185" s="20"/>
      <c r="C185" s="118" t="s">
        <v>262</v>
      </c>
      <c r="D185" s="118" t="s">
        <v>144</v>
      </c>
      <c r="E185" s="119" t="s">
        <v>263</v>
      </c>
      <c r="F185" s="191" t="s">
        <v>264</v>
      </c>
      <c r="G185" s="189"/>
      <c r="H185" s="189"/>
      <c r="I185" s="189"/>
      <c r="J185" s="120" t="s">
        <v>217</v>
      </c>
      <c r="K185" s="121">
        <v>10.2</v>
      </c>
      <c r="L185" s="188">
        <v>0</v>
      </c>
      <c r="M185" s="189"/>
      <c r="N185" s="190">
        <f>ROUND($L$185*$K$185,2)</f>
        <v>0</v>
      </c>
      <c r="O185" s="189"/>
      <c r="P185" s="189"/>
      <c r="Q185" s="189"/>
      <c r="R185" s="21"/>
      <c r="T185" s="122"/>
      <c r="U185" s="27" t="s">
        <v>40</v>
      </c>
      <c r="V185" s="123">
        <v>1.9</v>
      </c>
      <c r="W185" s="123">
        <f>$V$185*$K$185</f>
        <v>19.38</v>
      </c>
      <c r="X185" s="123">
        <v>0.00118</v>
      </c>
      <c r="Y185" s="123">
        <f>$X$185*$K$185</f>
        <v>0.012036</v>
      </c>
      <c r="Z185" s="123">
        <v>0.07</v>
      </c>
      <c r="AA185" s="124">
        <f>$Z$185*$K$185</f>
        <v>0.714</v>
      </c>
      <c r="AR185" s="6" t="s">
        <v>148</v>
      </c>
      <c r="AT185" s="6" t="s">
        <v>144</v>
      </c>
      <c r="AU185" s="6" t="s">
        <v>101</v>
      </c>
      <c r="AY185" s="6" t="s">
        <v>143</v>
      </c>
      <c r="BE185" s="76">
        <f>IF($U$185="základní",$N$185,0)</f>
        <v>0</v>
      </c>
      <c r="BF185" s="76">
        <f>IF($U$185="snížená",$N$185,0)</f>
        <v>0</v>
      </c>
      <c r="BG185" s="76">
        <f>IF($U$185="zákl. přenesená",$N$185,0)</f>
        <v>0</v>
      </c>
      <c r="BH185" s="76">
        <f>IF($U$185="sníž. přenesená",$N$185,0)</f>
        <v>0</v>
      </c>
      <c r="BI185" s="76">
        <f>IF($U$185="nulová",$N$185,0)</f>
        <v>0</v>
      </c>
      <c r="BJ185" s="6" t="s">
        <v>17</v>
      </c>
      <c r="BK185" s="76">
        <f>ROUND($L$185*$K$185,2)</f>
        <v>0</v>
      </c>
      <c r="BL185" s="6" t="s">
        <v>148</v>
      </c>
    </row>
    <row r="186" spans="2:51" s="6" customFormat="1" ht="15.75" customHeight="1">
      <c r="B186" s="125"/>
      <c r="E186" s="126"/>
      <c r="F186" s="192" t="s">
        <v>265</v>
      </c>
      <c r="G186" s="193"/>
      <c r="H186" s="193"/>
      <c r="I186" s="193"/>
      <c r="K186" s="127">
        <v>10.2</v>
      </c>
      <c r="R186" s="128"/>
      <c r="T186" s="129"/>
      <c r="AA186" s="130"/>
      <c r="AT186" s="126" t="s">
        <v>156</v>
      </c>
      <c r="AU186" s="126" t="s">
        <v>101</v>
      </c>
      <c r="AV186" s="126" t="s">
        <v>101</v>
      </c>
      <c r="AW186" s="126" t="s">
        <v>108</v>
      </c>
      <c r="AX186" s="126" t="s">
        <v>75</v>
      </c>
      <c r="AY186" s="126" t="s">
        <v>143</v>
      </c>
    </row>
    <row r="187" spans="2:64" s="6" customFormat="1" ht="27" customHeight="1">
      <c r="B187" s="20"/>
      <c r="C187" s="118" t="s">
        <v>7</v>
      </c>
      <c r="D187" s="118" t="s">
        <v>144</v>
      </c>
      <c r="E187" s="119" t="s">
        <v>266</v>
      </c>
      <c r="F187" s="191" t="s">
        <v>267</v>
      </c>
      <c r="G187" s="189"/>
      <c r="H187" s="189"/>
      <c r="I187" s="189"/>
      <c r="J187" s="120" t="s">
        <v>180</v>
      </c>
      <c r="K187" s="121">
        <v>101.656</v>
      </c>
      <c r="L187" s="188">
        <v>0</v>
      </c>
      <c r="M187" s="189"/>
      <c r="N187" s="190">
        <f>ROUND($L$187*$K$187,2)</f>
        <v>0</v>
      </c>
      <c r="O187" s="189"/>
      <c r="P187" s="189"/>
      <c r="Q187" s="189"/>
      <c r="R187" s="21"/>
      <c r="T187" s="122"/>
      <c r="U187" s="27" t="s">
        <v>40</v>
      </c>
      <c r="V187" s="123">
        <v>0.18</v>
      </c>
      <c r="W187" s="123">
        <f>$V$187*$K$187</f>
        <v>18.29808</v>
      </c>
      <c r="X187" s="123">
        <v>0</v>
      </c>
      <c r="Y187" s="123">
        <f>$X$187*$K$187</f>
        <v>0</v>
      </c>
      <c r="Z187" s="123">
        <v>0.046</v>
      </c>
      <c r="AA187" s="124">
        <f>$Z$187*$K$187</f>
        <v>4.676176</v>
      </c>
      <c r="AR187" s="6" t="s">
        <v>148</v>
      </c>
      <c r="AT187" s="6" t="s">
        <v>144</v>
      </c>
      <c r="AU187" s="6" t="s">
        <v>101</v>
      </c>
      <c r="AY187" s="6" t="s">
        <v>143</v>
      </c>
      <c r="BE187" s="76">
        <f>IF($U$187="základní",$N$187,0)</f>
        <v>0</v>
      </c>
      <c r="BF187" s="76">
        <f>IF($U$187="snížená",$N$187,0)</f>
        <v>0</v>
      </c>
      <c r="BG187" s="76">
        <f>IF($U$187="zákl. přenesená",$N$187,0)</f>
        <v>0</v>
      </c>
      <c r="BH187" s="76">
        <f>IF($U$187="sníž. přenesená",$N$187,0)</f>
        <v>0</v>
      </c>
      <c r="BI187" s="76">
        <f>IF($U$187="nulová",$N$187,0)</f>
        <v>0</v>
      </c>
      <c r="BJ187" s="6" t="s">
        <v>17</v>
      </c>
      <c r="BK187" s="76">
        <f>ROUND($L$187*$K$187,2)</f>
        <v>0</v>
      </c>
      <c r="BL187" s="6" t="s">
        <v>148</v>
      </c>
    </row>
    <row r="188" spans="2:51" s="6" customFormat="1" ht="15.75" customHeight="1">
      <c r="B188" s="125"/>
      <c r="E188" s="126"/>
      <c r="F188" s="192" t="s">
        <v>268</v>
      </c>
      <c r="G188" s="193"/>
      <c r="H188" s="193"/>
      <c r="I188" s="193"/>
      <c r="K188" s="127">
        <v>2.322</v>
      </c>
      <c r="R188" s="128"/>
      <c r="T188" s="129"/>
      <c r="AA188" s="130"/>
      <c r="AT188" s="126" t="s">
        <v>156</v>
      </c>
      <c r="AU188" s="126" t="s">
        <v>101</v>
      </c>
      <c r="AV188" s="126" t="s">
        <v>101</v>
      </c>
      <c r="AW188" s="126" t="s">
        <v>108</v>
      </c>
      <c r="AX188" s="126" t="s">
        <v>75</v>
      </c>
      <c r="AY188" s="126" t="s">
        <v>143</v>
      </c>
    </row>
    <row r="189" spans="2:51" s="6" customFormat="1" ht="15.75" customHeight="1">
      <c r="B189" s="125"/>
      <c r="E189" s="126"/>
      <c r="F189" s="192" t="s">
        <v>269</v>
      </c>
      <c r="G189" s="193"/>
      <c r="H189" s="193"/>
      <c r="I189" s="193"/>
      <c r="K189" s="127">
        <v>3.276</v>
      </c>
      <c r="R189" s="128"/>
      <c r="T189" s="129"/>
      <c r="AA189" s="130"/>
      <c r="AT189" s="126" t="s">
        <v>156</v>
      </c>
      <c r="AU189" s="126" t="s">
        <v>101</v>
      </c>
      <c r="AV189" s="126" t="s">
        <v>101</v>
      </c>
      <c r="AW189" s="126" t="s">
        <v>108</v>
      </c>
      <c r="AX189" s="126" t="s">
        <v>75</v>
      </c>
      <c r="AY189" s="126" t="s">
        <v>143</v>
      </c>
    </row>
    <row r="190" spans="2:51" s="6" customFormat="1" ht="15.75" customHeight="1">
      <c r="B190" s="125"/>
      <c r="E190" s="126"/>
      <c r="F190" s="192" t="s">
        <v>270</v>
      </c>
      <c r="G190" s="193"/>
      <c r="H190" s="193"/>
      <c r="I190" s="193"/>
      <c r="K190" s="127">
        <v>4.754</v>
      </c>
      <c r="R190" s="128"/>
      <c r="T190" s="129"/>
      <c r="AA190" s="130"/>
      <c r="AT190" s="126" t="s">
        <v>156</v>
      </c>
      <c r="AU190" s="126" t="s">
        <v>101</v>
      </c>
      <c r="AV190" s="126" t="s">
        <v>101</v>
      </c>
      <c r="AW190" s="126" t="s">
        <v>108</v>
      </c>
      <c r="AX190" s="126" t="s">
        <v>75</v>
      </c>
      <c r="AY190" s="126" t="s">
        <v>143</v>
      </c>
    </row>
    <row r="191" spans="2:51" s="6" customFormat="1" ht="15.75" customHeight="1">
      <c r="B191" s="125"/>
      <c r="E191" s="126"/>
      <c r="F191" s="192" t="s">
        <v>271</v>
      </c>
      <c r="G191" s="193"/>
      <c r="H191" s="193"/>
      <c r="I191" s="193"/>
      <c r="K191" s="127">
        <v>6.318</v>
      </c>
      <c r="R191" s="128"/>
      <c r="T191" s="129"/>
      <c r="AA191" s="130"/>
      <c r="AT191" s="126" t="s">
        <v>156</v>
      </c>
      <c r="AU191" s="126" t="s">
        <v>101</v>
      </c>
      <c r="AV191" s="126" t="s">
        <v>101</v>
      </c>
      <c r="AW191" s="126" t="s">
        <v>108</v>
      </c>
      <c r="AX191" s="126" t="s">
        <v>75</v>
      </c>
      <c r="AY191" s="126" t="s">
        <v>143</v>
      </c>
    </row>
    <row r="192" spans="2:51" s="6" customFormat="1" ht="15.75" customHeight="1">
      <c r="B192" s="125"/>
      <c r="E192" s="126"/>
      <c r="F192" s="192" t="s">
        <v>272</v>
      </c>
      <c r="G192" s="193"/>
      <c r="H192" s="193"/>
      <c r="I192" s="193"/>
      <c r="K192" s="127">
        <v>6.573</v>
      </c>
      <c r="R192" s="128"/>
      <c r="T192" s="129"/>
      <c r="AA192" s="130"/>
      <c r="AT192" s="126" t="s">
        <v>156</v>
      </c>
      <c r="AU192" s="126" t="s">
        <v>101</v>
      </c>
      <c r="AV192" s="126" t="s">
        <v>101</v>
      </c>
      <c r="AW192" s="126" t="s">
        <v>108</v>
      </c>
      <c r="AX192" s="126" t="s">
        <v>75</v>
      </c>
      <c r="AY192" s="126" t="s">
        <v>143</v>
      </c>
    </row>
    <row r="193" spans="2:51" s="6" customFormat="1" ht="15.75" customHeight="1">
      <c r="B193" s="125"/>
      <c r="E193" s="126"/>
      <c r="F193" s="192" t="s">
        <v>273</v>
      </c>
      <c r="G193" s="193"/>
      <c r="H193" s="193"/>
      <c r="I193" s="193"/>
      <c r="K193" s="127">
        <v>7.104</v>
      </c>
      <c r="R193" s="128"/>
      <c r="T193" s="129"/>
      <c r="AA193" s="130"/>
      <c r="AT193" s="126" t="s">
        <v>156</v>
      </c>
      <c r="AU193" s="126" t="s">
        <v>101</v>
      </c>
      <c r="AV193" s="126" t="s">
        <v>101</v>
      </c>
      <c r="AW193" s="126" t="s">
        <v>108</v>
      </c>
      <c r="AX193" s="126" t="s">
        <v>75</v>
      </c>
      <c r="AY193" s="126" t="s">
        <v>143</v>
      </c>
    </row>
    <row r="194" spans="2:51" s="6" customFormat="1" ht="15.75" customHeight="1">
      <c r="B194" s="125"/>
      <c r="E194" s="126"/>
      <c r="F194" s="192" t="s">
        <v>274</v>
      </c>
      <c r="G194" s="193"/>
      <c r="H194" s="193"/>
      <c r="I194" s="193"/>
      <c r="K194" s="127">
        <v>6.848</v>
      </c>
      <c r="R194" s="128"/>
      <c r="T194" s="129"/>
      <c r="AA194" s="130"/>
      <c r="AT194" s="126" t="s">
        <v>156</v>
      </c>
      <c r="AU194" s="126" t="s">
        <v>101</v>
      </c>
      <c r="AV194" s="126" t="s">
        <v>101</v>
      </c>
      <c r="AW194" s="126" t="s">
        <v>108</v>
      </c>
      <c r="AX194" s="126" t="s">
        <v>75</v>
      </c>
      <c r="AY194" s="126" t="s">
        <v>143</v>
      </c>
    </row>
    <row r="195" spans="2:51" s="6" customFormat="1" ht="15.75" customHeight="1">
      <c r="B195" s="125"/>
      <c r="E195" s="126"/>
      <c r="F195" s="192" t="s">
        <v>275</v>
      </c>
      <c r="G195" s="193"/>
      <c r="H195" s="193"/>
      <c r="I195" s="193"/>
      <c r="K195" s="127">
        <v>6.416</v>
      </c>
      <c r="R195" s="128"/>
      <c r="T195" s="129"/>
      <c r="AA195" s="130"/>
      <c r="AT195" s="126" t="s">
        <v>156</v>
      </c>
      <c r="AU195" s="126" t="s">
        <v>101</v>
      </c>
      <c r="AV195" s="126" t="s">
        <v>101</v>
      </c>
      <c r="AW195" s="126" t="s">
        <v>108</v>
      </c>
      <c r="AX195" s="126" t="s">
        <v>75</v>
      </c>
      <c r="AY195" s="126" t="s">
        <v>143</v>
      </c>
    </row>
    <row r="196" spans="2:51" s="6" customFormat="1" ht="15.75" customHeight="1">
      <c r="B196" s="125"/>
      <c r="E196" s="126"/>
      <c r="F196" s="192" t="s">
        <v>276</v>
      </c>
      <c r="G196" s="193"/>
      <c r="H196" s="193"/>
      <c r="I196" s="193"/>
      <c r="K196" s="127">
        <v>6.448</v>
      </c>
      <c r="R196" s="128"/>
      <c r="T196" s="129"/>
      <c r="AA196" s="130"/>
      <c r="AT196" s="126" t="s">
        <v>156</v>
      </c>
      <c r="AU196" s="126" t="s">
        <v>101</v>
      </c>
      <c r="AV196" s="126" t="s">
        <v>101</v>
      </c>
      <c r="AW196" s="126" t="s">
        <v>108</v>
      </c>
      <c r="AX196" s="126" t="s">
        <v>75</v>
      </c>
      <c r="AY196" s="126" t="s">
        <v>143</v>
      </c>
    </row>
    <row r="197" spans="2:51" s="6" customFormat="1" ht="15.75" customHeight="1">
      <c r="B197" s="125"/>
      <c r="E197" s="126"/>
      <c r="F197" s="192" t="s">
        <v>277</v>
      </c>
      <c r="G197" s="193"/>
      <c r="H197" s="193"/>
      <c r="I197" s="193"/>
      <c r="K197" s="127">
        <v>6.053</v>
      </c>
      <c r="R197" s="128"/>
      <c r="T197" s="129"/>
      <c r="AA197" s="130"/>
      <c r="AT197" s="126" t="s">
        <v>156</v>
      </c>
      <c r="AU197" s="126" t="s">
        <v>101</v>
      </c>
      <c r="AV197" s="126" t="s">
        <v>101</v>
      </c>
      <c r="AW197" s="126" t="s">
        <v>108</v>
      </c>
      <c r="AX197" s="126" t="s">
        <v>75</v>
      </c>
      <c r="AY197" s="126" t="s">
        <v>143</v>
      </c>
    </row>
    <row r="198" spans="2:51" s="6" customFormat="1" ht="15.75" customHeight="1">
      <c r="B198" s="125"/>
      <c r="E198" s="126"/>
      <c r="F198" s="192" t="s">
        <v>278</v>
      </c>
      <c r="G198" s="193"/>
      <c r="H198" s="193"/>
      <c r="I198" s="193"/>
      <c r="K198" s="127">
        <v>5.596</v>
      </c>
      <c r="R198" s="128"/>
      <c r="T198" s="129"/>
      <c r="AA198" s="130"/>
      <c r="AT198" s="126" t="s">
        <v>156</v>
      </c>
      <c r="AU198" s="126" t="s">
        <v>101</v>
      </c>
      <c r="AV198" s="126" t="s">
        <v>101</v>
      </c>
      <c r="AW198" s="126" t="s">
        <v>108</v>
      </c>
      <c r="AX198" s="126" t="s">
        <v>75</v>
      </c>
      <c r="AY198" s="126" t="s">
        <v>143</v>
      </c>
    </row>
    <row r="199" spans="2:51" s="6" customFormat="1" ht="15.75" customHeight="1">
      <c r="B199" s="125"/>
      <c r="E199" s="126"/>
      <c r="F199" s="192" t="s">
        <v>279</v>
      </c>
      <c r="G199" s="193"/>
      <c r="H199" s="193"/>
      <c r="I199" s="193"/>
      <c r="K199" s="127">
        <v>5.175</v>
      </c>
      <c r="R199" s="128"/>
      <c r="T199" s="129"/>
      <c r="AA199" s="130"/>
      <c r="AT199" s="126" t="s">
        <v>156</v>
      </c>
      <c r="AU199" s="126" t="s">
        <v>101</v>
      </c>
      <c r="AV199" s="126" t="s">
        <v>101</v>
      </c>
      <c r="AW199" s="126" t="s">
        <v>108</v>
      </c>
      <c r="AX199" s="126" t="s">
        <v>75</v>
      </c>
      <c r="AY199" s="126" t="s">
        <v>143</v>
      </c>
    </row>
    <row r="200" spans="2:51" s="6" customFormat="1" ht="15.75" customHeight="1">
      <c r="B200" s="125"/>
      <c r="E200" s="126"/>
      <c r="F200" s="192" t="s">
        <v>280</v>
      </c>
      <c r="G200" s="193"/>
      <c r="H200" s="193"/>
      <c r="I200" s="193"/>
      <c r="K200" s="127">
        <v>2.886</v>
      </c>
      <c r="R200" s="128"/>
      <c r="T200" s="129"/>
      <c r="AA200" s="130"/>
      <c r="AT200" s="126" t="s">
        <v>156</v>
      </c>
      <c r="AU200" s="126" t="s">
        <v>101</v>
      </c>
      <c r="AV200" s="126" t="s">
        <v>101</v>
      </c>
      <c r="AW200" s="126" t="s">
        <v>108</v>
      </c>
      <c r="AX200" s="126" t="s">
        <v>75</v>
      </c>
      <c r="AY200" s="126" t="s">
        <v>143</v>
      </c>
    </row>
    <row r="201" spans="2:51" s="6" customFormat="1" ht="15.75" customHeight="1">
      <c r="B201" s="125"/>
      <c r="E201" s="126"/>
      <c r="F201" s="192" t="s">
        <v>281</v>
      </c>
      <c r="G201" s="193"/>
      <c r="H201" s="193"/>
      <c r="I201" s="193"/>
      <c r="K201" s="127">
        <v>2.488</v>
      </c>
      <c r="R201" s="128"/>
      <c r="T201" s="129"/>
      <c r="AA201" s="130"/>
      <c r="AT201" s="126" t="s">
        <v>156</v>
      </c>
      <c r="AU201" s="126" t="s">
        <v>101</v>
      </c>
      <c r="AV201" s="126" t="s">
        <v>101</v>
      </c>
      <c r="AW201" s="126" t="s">
        <v>108</v>
      </c>
      <c r="AX201" s="126" t="s">
        <v>75</v>
      </c>
      <c r="AY201" s="126" t="s">
        <v>143</v>
      </c>
    </row>
    <row r="202" spans="2:51" s="6" customFormat="1" ht="15.75" customHeight="1">
      <c r="B202" s="125"/>
      <c r="E202" s="126"/>
      <c r="F202" s="192" t="s">
        <v>282</v>
      </c>
      <c r="G202" s="193"/>
      <c r="H202" s="193"/>
      <c r="I202" s="193"/>
      <c r="K202" s="127">
        <v>1.216</v>
      </c>
      <c r="R202" s="128"/>
      <c r="T202" s="129"/>
      <c r="AA202" s="130"/>
      <c r="AT202" s="126" t="s">
        <v>156</v>
      </c>
      <c r="AU202" s="126" t="s">
        <v>101</v>
      </c>
      <c r="AV202" s="126" t="s">
        <v>101</v>
      </c>
      <c r="AW202" s="126" t="s">
        <v>108</v>
      </c>
      <c r="AX202" s="126" t="s">
        <v>75</v>
      </c>
      <c r="AY202" s="126" t="s">
        <v>143</v>
      </c>
    </row>
    <row r="203" spans="2:51" s="6" customFormat="1" ht="15.75" customHeight="1">
      <c r="B203" s="125"/>
      <c r="E203" s="126"/>
      <c r="F203" s="192" t="s">
        <v>283</v>
      </c>
      <c r="G203" s="193"/>
      <c r="H203" s="193"/>
      <c r="I203" s="193"/>
      <c r="K203" s="127">
        <v>28.183</v>
      </c>
      <c r="R203" s="128"/>
      <c r="T203" s="129"/>
      <c r="AA203" s="130"/>
      <c r="AT203" s="126" t="s">
        <v>156</v>
      </c>
      <c r="AU203" s="126" t="s">
        <v>101</v>
      </c>
      <c r="AV203" s="126" t="s">
        <v>101</v>
      </c>
      <c r="AW203" s="126" t="s">
        <v>108</v>
      </c>
      <c r="AX203" s="126" t="s">
        <v>75</v>
      </c>
      <c r="AY203" s="126" t="s">
        <v>143</v>
      </c>
    </row>
    <row r="204" spans="2:64" s="6" customFormat="1" ht="27" customHeight="1">
      <c r="B204" s="20"/>
      <c r="C204" s="118" t="s">
        <v>284</v>
      </c>
      <c r="D204" s="118" t="s">
        <v>144</v>
      </c>
      <c r="E204" s="119" t="s">
        <v>285</v>
      </c>
      <c r="F204" s="191" t="s">
        <v>286</v>
      </c>
      <c r="G204" s="189"/>
      <c r="H204" s="189"/>
      <c r="I204" s="189"/>
      <c r="J204" s="120" t="s">
        <v>217</v>
      </c>
      <c r="K204" s="121">
        <v>18.28</v>
      </c>
      <c r="L204" s="188">
        <v>0</v>
      </c>
      <c r="M204" s="189"/>
      <c r="N204" s="190">
        <f>ROUND($L$204*$K$204,2)</f>
        <v>0</v>
      </c>
      <c r="O204" s="189"/>
      <c r="P204" s="189"/>
      <c r="Q204" s="189"/>
      <c r="R204" s="21"/>
      <c r="T204" s="122"/>
      <c r="U204" s="27" t="s">
        <v>40</v>
      </c>
      <c r="V204" s="123">
        <v>0.192</v>
      </c>
      <c r="W204" s="123">
        <f>$V$204*$K$204</f>
        <v>3.5097600000000004</v>
      </c>
      <c r="X204" s="123">
        <v>0</v>
      </c>
      <c r="Y204" s="123">
        <f>$X$204*$K$204</f>
        <v>0</v>
      </c>
      <c r="Z204" s="123">
        <v>0</v>
      </c>
      <c r="AA204" s="124">
        <f>$Z$204*$K$204</f>
        <v>0</v>
      </c>
      <c r="AR204" s="6" t="s">
        <v>148</v>
      </c>
      <c r="AT204" s="6" t="s">
        <v>144</v>
      </c>
      <c r="AU204" s="6" t="s">
        <v>101</v>
      </c>
      <c r="AY204" s="6" t="s">
        <v>143</v>
      </c>
      <c r="BE204" s="76">
        <f>IF($U$204="základní",$N$204,0)</f>
        <v>0</v>
      </c>
      <c r="BF204" s="76">
        <f>IF($U$204="snížená",$N$204,0)</f>
        <v>0</v>
      </c>
      <c r="BG204" s="76">
        <f>IF($U$204="zákl. přenesená",$N$204,0)</f>
        <v>0</v>
      </c>
      <c r="BH204" s="76">
        <f>IF($U$204="sníž. přenesená",$N$204,0)</f>
        <v>0</v>
      </c>
      <c r="BI204" s="76">
        <f>IF($U$204="nulová",$N$204,0)</f>
        <v>0</v>
      </c>
      <c r="BJ204" s="6" t="s">
        <v>17</v>
      </c>
      <c r="BK204" s="76">
        <f>ROUND($L$204*$K$204,2)</f>
        <v>0</v>
      </c>
      <c r="BL204" s="6" t="s">
        <v>148</v>
      </c>
    </row>
    <row r="205" spans="2:51" s="6" customFormat="1" ht="15.75" customHeight="1">
      <c r="B205" s="125"/>
      <c r="E205" s="126"/>
      <c r="F205" s="192" t="s">
        <v>228</v>
      </c>
      <c r="G205" s="193"/>
      <c r="H205" s="193"/>
      <c r="I205" s="193"/>
      <c r="K205" s="127">
        <v>18.28</v>
      </c>
      <c r="R205" s="128"/>
      <c r="T205" s="129"/>
      <c r="AA205" s="130"/>
      <c r="AT205" s="126" t="s">
        <v>156</v>
      </c>
      <c r="AU205" s="126" t="s">
        <v>101</v>
      </c>
      <c r="AV205" s="126" t="s">
        <v>101</v>
      </c>
      <c r="AW205" s="126" t="s">
        <v>108</v>
      </c>
      <c r="AX205" s="126" t="s">
        <v>75</v>
      </c>
      <c r="AY205" s="126" t="s">
        <v>143</v>
      </c>
    </row>
    <row r="206" spans="2:64" s="6" customFormat="1" ht="27" customHeight="1">
      <c r="B206" s="20"/>
      <c r="C206" s="118" t="s">
        <v>287</v>
      </c>
      <c r="D206" s="118" t="s">
        <v>144</v>
      </c>
      <c r="E206" s="119" t="s">
        <v>288</v>
      </c>
      <c r="F206" s="191" t="s">
        <v>289</v>
      </c>
      <c r="G206" s="189"/>
      <c r="H206" s="189"/>
      <c r="I206" s="189"/>
      <c r="J206" s="120" t="s">
        <v>154</v>
      </c>
      <c r="K206" s="121">
        <v>0.055</v>
      </c>
      <c r="L206" s="188">
        <v>0</v>
      </c>
      <c r="M206" s="189"/>
      <c r="N206" s="190">
        <f>ROUND($L$206*$K$206,2)</f>
        <v>0</v>
      </c>
      <c r="O206" s="189"/>
      <c r="P206" s="189"/>
      <c r="Q206" s="189"/>
      <c r="R206" s="21"/>
      <c r="T206" s="122"/>
      <c r="U206" s="27" t="s">
        <v>40</v>
      </c>
      <c r="V206" s="123">
        <v>15.727</v>
      </c>
      <c r="W206" s="123">
        <f>$V$206*$K$206</f>
        <v>0.864985</v>
      </c>
      <c r="X206" s="123">
        <v>2.588</v>
      </c>
      <c r="Y206" s="123">
        <f>$X$206*$K$206</f>
        <v>0.14234</v>
      </c>
      <c r="Z206" s="123">
        <v>1.95</v>
      </c>
      <c r="AA206" s="124">
        <f>$Z$206*$K$206</f>
        <v>0.10725</v>
      </c>
      <c r="AR206" s="6" t="s">
        <v>148</v>
      </c>
      <c r="AT206" s="6" t="s">
        <v>144</v>
      </c>
      <c r="AU206" s="6" t="s">
        <v>101</v>
      </c>
      <c r="AY206" s="6" t="s">
        <v>143</v>
      </c>
      <c r="BE206" s="76">
        <f>IF($U$206="základní",$N$206,0)</f>
        <v>0</v>
      </c>
      <c r="BF206" s="76">
        <f>IF($U$206="snížená",$N$206,0)</f>
        <v>0</v>
      </c>
      <c r="BG206" s="76">
        <f>IF($U$206="zákl. přenesená",$N$206,0)</f>
        <v>0</v>
      </c>
      <c r="BH206" s="76">
        <f>IF($U$206="sníž. přenesená",$N$206,0)</f>
        <v>0</v>
      </c>
      <c r="BI206" s="76">
        <f>IF($U$206="nulová",$N$206,0)</f>
        <v>0</v>
      </c>
      <c r="BJ206" s="6" t="s">
        <v>17</v>
      </c>
      <c r="BK206" s="76">
        <f>ROUND($L$206*$K$206,2)</f>
        <v>0</v>
      </c>
      <c r="BL206" s="6" t="s">
        <v>148</v>
      </c>
    </row>
    <row r="207" spans="2:51" s="6" customFormat="1" ht="15.75" customHeight="1">
      <c r="B207" s="125"/>
      <c r="E207" s="126"/>
      <c r="F207" s="192" t="s">
        <v>290</v>
      </c>
      <c r="G207" s="193"/>
      <c r="H207" s="193"/>
      <c r="I207" s="193"/>
      <c r="K207" s="127">
        <v>0.055</v>
      </c>
      <c r="R207" s="128"/>
      <c r="T207" s="129"/>
      <c r="AA207" s="130"/>
      <c r="AT207" s="126" t="s">
        <v>156</v>
      </c>
      <c r="AU207" s="126" t="s">
        <v>101</v>
      </c>
      <c r="AV207" s="126" t="s">
        <v>101</v>
      </c>
      <c r="AW207" s="126" t="s">
        <v>108</v>
      </c>
      <c r="AX207" s="126" t="s">
        <v>75</v>
      </c>
      <c r="AY207" s="126" t="s">
        <v>143</v>
      </c>
    </row>
    <row r="208" spans="2:64" s="6" customFormat="1" ht="27" customHeight="1">
      <c r="B208" s="20"/>
      <c r="C208" s="131" t="s">
        <v>291</v>
      </c>
      <c r="D208" s="131" t="s">
        <v>211</v>
      </c>
      <c r="E208" s="132" t="s">
        <v>292</v>
      </c>
      <c r="F208" s="194" t="s">
        <v>293</v>
      </c>
      <c r="G208" s="195"/>
      <c r="H208" s="195"/>
      <c r="I208" s="195"/>
      <c r="J208" s="133" t="s">
        <v>154</v>
      </c>
      <c r="K208" s="134">
        <v>0.055</v>
      </c>
      <c r="L208" s="196">
        <v>0</v>
      </c>
      <c r="M208" s="195"/>
      <c r="N208" s="197">
        <f>ROUND($L$208*$K$208,2)</f>
        <v>0</v>
      </c>
      <c r="O208" s="189"/>
      <c r="P208" s="189"/>
      <c r="Q208" s="189"/>
      <c r="R208" s="21"/>
      <c r="T208" s="122"/>
      <c r="U208" s="27" t="s">
        <v>40</v>
      </c>
      <c r="V208" s="123">
        <v>0</v>
      </c>
      <c r="W208" s="123">
        <f>$V$208*$K$208</f>
        <v>0</v>
      </c>
      <c r="X208" s="123">
        <v>2.429</v>
      </c>
      <c r="Y208" s="123">
        <f>$X$208*$K$208</f>
        <v>0.133595</v>
      </c>
      <c r="Z208" s="123">
        <v>0</v>
      </c>
      <c r="AA208" s="124">
        <f>$Z$208*$K$208</f>
        <v>0</v>
      </c>
      <c r="AR208" s="6" t="s">
        <v>188</v>
      </c>
      <c r="AT208" s="6" t="s">
        <v>211</v>
      </c>
      <c r="AU208" s="6" t="s">
        <v>101</v>
      </c>
      <c r="AY208" s="6" t="s">
        <v>143</v>
      </c>
      <c r="BE208" s="76">
        <f>IF($U$208="základní",$N$208,0)</f>
        <v>0</v>
      </c>
      <c r="BF208" s="76">
        <f>IF($U$208="snížená",$N$208,0)</f>
        <v>0</v>
      </c>
      <c r="BG208" s="76">
        <f>IF($U$208="zákl. přenesená",$N$208,0)</f>
        <v>0</v>
      </c>
      <c r="BH208" s="76">
        <f>IF($U$208="sníž. přenesená",$N$208,0)</f>
        <v>0</v>
      </c>
      <c r="BI208" s="76">
        <f>IF($U$208="nulová",$N$208,0)</f>
        <v>0</v>
      </c>
      <c r="BJ208" s="6" t="s">
        <v>17</v>
      </c>
      <c r="BK208" s="76">
        <f>ROUND($L$208*$K$208,2)</f>
        <v>0</v>
      </c>
      <c r="BL208" s="6" t="s">
        <v>148</v>
      </c>
    </row>
    <row r="209" spans="2:64" s="6" customFormat="1" ht="27" customHeight="1">
      <c r="B209" s="20"/>
      <c r="C209" s="118" t="s">
        <v>294</v>
      </c>
      <c r="D209" s="118" t="s">
        <v>144</v>
      </c>
      <c r="E209" s="119" t="s">
        <v>295</v>
      </c>
      <c r="F209" s="191" t="s">
        <v>296</v>
      </c>
      <c r="G209" s="189"/>
      <c r="H209" s="189"/>
      <c r="I209" s="189"/>
      <c r="J209" s="120" t="s">
        <v>180</v>
      </c>
      <c r="K209" s="121">
        <v>220.766</v>
      </c>
      <c r="L209" s="188">
        <v>0</v>
      </c>
      <c r="M209" s="189"/>
      <c r="N209" s="190">
        <f>ROUND($L$209*$K$209,2)</f>
        <v>0</v>
      </c>
      <c r="O209" s="189"/>
      <c r="P209" s="189"/>
      <c r="Q209" s="189"/>
      <c r="R209" s="21"/>
      <c r="T209" s="122"/>
      <c r="U209" s="27" t="s">
        <v>40</v>
      </c>
      <c r="V209" s="123">
        <v>0.548</v>
      </c>
      <c r="W209" s="123">
        <f>$V$209*$K$209</f>
        <v>120.979768</v>
      </c>
      <c r="X209" s="123">
        <v>0.00116</v>
      </c>
      <c r="Y209" s="123">
        <f>$X$209*$K$209</f>
        <v>0.25608855999999997</v>
      </c>
      <c r="Z209" s="123">
        <v>0</v>
      </c>
      <c r="AA209" s="124">
        <f>$Z$209*$K$209</f>
        <v>0</v>
      </c>
      <c r="AR209" s="6" t="s">
        <v>148</v>
      </c>
      <c r="AT209" s="6" t="s">
        <v>144</v>
      </c>
      <c r="AU209" s="6" t="s">
        <v>101</v>
      </c>
      <c r="AY209" s="6" t="s">
        <v>143</v>
      </c>
      <c r="BE209" s="76">
        <f>IF($U$209="základní",$N$209,0)</f>
        <v>0</v>
      </c>
      <c r="BF209" s="76">
        <f>IF($U$209="snížená",$N$209,0)</f>
        <v>0</v>
      </c>
      <c r="BG209" s="76">
        <f>IF($U$209="zákl. přenesená",$N$209,0)</f>
        <v>0</v>
      </c>
      <c r="BH209" s="76">
        <f>IF($U$209="sníž. přenesená",$N$209,0)</f>
        <v>0</v>
      </c>
      <c r="BI209" s="76">
        <f>IF($U$209="nulová",$N$209,0)</f>
        <v>0</v>
      </c>
      <c r="BJ209" s="6" t="s">
        <v>17</v>
      </c>
      <c r="BK209" s="76">
        <f>ROUND($L$209*$K$209,2)</f>
        <v>0</v>
      </c>
      <c r="BL209" s="6" t="s">
        <v>148</v>
      </c>
    </row>
    <row r="210" spans="2:51" s="6" customFormat="1" ht="15.75" customHeight="1">
      <c r="B210" s="125"/>
      <c r="E210" s="126"/>
      <c r="F210" s="192" t="s">
        <v>297</v>
      </c>
      <c r="G210" s="193"/>
      <c r="H210" s="193"/>
      <c r="I210" s="193"/>
      <c r="K210" s="127">
        <v>151.907</v>
      </c>
      <c r="R210" s="128"/>
      <c r="T210" s="129"/>
      <c r="AA210" s="130"/>
      <c r="AT210" s="126" t="s">
        <v>156</v>
      </c>
      <c r="AU210" s="126" t="s">
        <v>101</v>
      </c>
      <c r="AV210" s="126" t="s">
        <v>101</v>
      </c>
      <c r="AW210" s="126" t="s">
        <v>108</v>
      </c>
      <c r="AX210" s="126" t="s">
        <v>75</v>
      </c>
      <c r="AY210" s="126" t="s">
        <v>143</v>
      </c>
    </row>
    <row r="211" spans="2:51" s="6" customFormat="1" ht="15.75" customHeight="1">
      <c r="B211" s="125"/>
      <c r="E211" s="126"/>
      <c r="F211" s="192" t="s">
        <v>298</v>
      </c>
      <c r="G211" s="193"/>
      <c r="H211" s="193"/>
      <c r="I211" s="193"/>
      <c r="K211" s="127">
        <v>62.565</v>
      </c>
      <c r="R211" s="128"/>
      <c r="T211" s="129"/>
      <c r="AA211" s="130"/>
      <c r="AT211" s="126" t="s">
        <v>156</v>
      </c>
      <c r="AU211" s="126" t="s">
        <v>101</v>
      </c>
      <c r="AV211" s="126" t="s">
        <v>101</v>
      </c>
      <c r="AW211" s="126" t="s">
        <v>108</v>
      </c>
      <c r="AX211" s="126" t="s">
        <v>75</v>
      </c>
      <c r="AY211" s="126" t="s">
        <v>143</v>
      </c>
    </row>
    <row r="212" spans="2:51" s="6" customFormat="1" ht="15.75" customHeight="1">
      <c r="B212" s="125"/>
      <c r="E212" s="126"/>
      <c r="F212" s="192" t="s">
        <v>299</v>
      </c>
      <c r="G212" s="193"/>
      <c r="H212" s="193"/>
      <c r="I212" s="193"/>
      <c r="K212" s="127">
        <v>6.294</v>
      </c>
      <c r="R212" s="128"/>
      <c r="T212" s="129"/>
      <c r="AA212" s="130"/>
      <c r="AT212" s="126" t="s">
        <v>156</v>
      </c>
      <c r="AU212" s="126" t="s">
        <v>101</v>
      </c>
      <c r="AV212" s="126" t="s">
        <v>101</v>
      </c>
      <c r="AW212" s="126" t="s">
        <v>108</v>
      </c>
      <c r="AX212" s="126" t="s">
        <v>75</v>
      </c>
      <c r="AY212" s="126" t="s">
        <v>143</v>
      </c>
    </row>
    <row r="213" spans="2:64" s="6" customFormat="1" ht="27" customHeight="1">
      <c r="B213" s="20"/>
      <c r="C213" s="118" t="s">
        <v>300</v>
      </c>
      <c r="D213" s="118" t="s">
        <v>144</v>
      </c>
      <c r="E213" s="119" t="s">
        <v>301</v>
      </c>
      <c r="F213" s="191" t="s">
        <v>302</v>
      </c>
      <c r="G213" s="189"/>
      <c r="H213" s="189"/>
      <c r="I213" s="189"/>
      <c r="J213" s="120" t="s">
        <v>180</v>
      </c>
      <c r="K213" s="121">
        <v>151.907</v>
      </c>
      <c r="L213" s="188">
        <v>0</v>
      </c>
      <c r="M213" s="189"/>
      <c r="N213" s="190">
        <f>ROUND($L$213*$K$213,2)</f>
        <v>0</v>
      </c>
      <c r="O213" s="189"/>
      <c r="P213" s="189"/>
      <c r="Q213" s="189"/>
      <c r="R213" s="21"/>
      <c r="T213" s="122"/>
      <c r="U213" s="27" t="s">
        <v>40</v>
      </c>
      <c r="V213" s="123">
        <v>0.728</v>
      </c>
      <c r="W213" s="123">
        <f>$V$213*$K$213</f>
        <v>110.588296</v>
      </c>
      <c r="X213" s="123">
        <v>0.0693</v>
      </c>
      <c r="Y213" s="123">
        <f>$X$213*$K$213</f>
        <v>10.527155100000002</v>
      </c>
      <c r="Z213" s="123">
        <v>0.007</v>
      </c>
      <c r="AA213" s="124">
        <f>$Z$213*$K$213</f>
        <v>1.063349</v>
      </c>
      <c r="AR213" s="6" t="s">
        <v>148</v>
      </c>
      <c r="AT213" s="6" t="s">
        <v>144</v>
      </c>
      <c r="AU213" s="6" t="s">
        <v>101</v>
      </c>
      <c r="AY213" s="6" t="s">
        <v>143</v>
      </c>
      <c r="BE213" s="76">
        <f>IF($U$213="základní",$N$213,0)</f>
        <v>0</v>
      </c>
      <c r="BF213" s="76">
        <f>IF($U$213="snížená",$N$213,0)</f>
        <v>0</v>
      </c>
      <c r="BG213" s="76">
        <f>IF($U$213="zákl. přenesená",$N$213,0)</f>
        <v>0</v>
      </c>
      <c r="BH213" s="76">
        <f>IF($U$213="sníž. přenesená",$N$213,0)</f>
        <v>0</v>
      </c>
      <c r="BI213" s="76">
        <f>IF($U$213="nulová",$N$213,0)</f>
        <v>0</v>
      </c>
      <c r="BJ213" s="6" t="s">
        <v>17</v>
      </c>
      <c r="BK213" s="76">
        <f>ROUND($L$213*$K$213,2)</f>
        <v>0</v>
      </c>
      <c r="BL213" s="6" t="s">
        <v>148</v>
      </c>
    </row>
    <row r="214" spans="2:51" s="6" customFormat="1" ht="15.75" customHeight="1">
      <c r="B214" s="125"/>
      <c r="E214" s="126"/>
      <c r="F214" s="192" t="s">
        <v>303</v>
      </c>
      <c r="G214" s="193"/>
      <c r="H214" s="193"/>
      <c r="I214" s="193"/>
      <c r="K214" s="127">
        <v>129.839</v>
      </c>
      <c r="R214" s="128"/>
      <c r="T214" s="129"/>
      <c r="AA214" s="130"/>
      <c r="AT214" s="126" t="s">
        <v>156</v>
      </c>
      <c r="AU214" s="126" t="s">
        <v>101</v>
      </c>
      <c r="AV214" s="126" t="s">
        <v>101</v>
      </c>
      <c r="AW214" s="126" t="s">
        <v>108</v>
      </c>
      <c r="AX214" s="126" t="s">
        <v>75</v>
      </c>
      <c r="AY214" s="126" t="s">
        <v>143</v>
      </c>
    </row>
    <row r="215" spans="2:51" s="6" customFormat="1" ht="39" customHeight="1">
      <c r="B215" s="125"/>
      <c r="E215" s="126"/>
      <c r="F215" s="192" t="s">
        <v>183</v>
      </c>
      <c r="G215" s="193"/>
      <c r="H215" s="193"/>
      <c r="I215" s="193"/>
      <c r="K215" s="127">
        <v>22.068</v>
      </c>
      <c r="R215" s="128"/>
      <c r="T215" s="129"/>
      <c r="AA215" s="130"/>
      <c r="AT215" s="126" t="s">
        <v>156</v>
      </c>
      <c r="AU215" s="126" t="s">
        <v>101</v>
      </c>
      <c r="AV215" s="126" t="s">
        <v>101</v>
      </c>
      <c r="AW215" s="126" t="s">
        <v>108</v>
      </c>
      <c r="AX215" s="126" t="s">
        <v>75</v>
      </c>
      <c r="AY215" s="126" t="s">
        <v>143</v>
      </c>
    </row>
    <row r="216" spans="2:64" s="6" customFormat="1" ht="27" customHeight="1">
      <c r="B216" s="20"/>
      <c r="C216" s="118" t="s">
        <v>304</v>
      </c>
      <c r="D216" s="118" t="s">
        <v>144</v>
      </c>
      <c r="E216" s="119" t="s">
        <v>305</v>
      </c>
      <c r="F216" s="191" t="s">
        <v>306</v>
      </c>
      <c r="G216" s="189"/>
      <c r="H216" s="189"/>
      <c r="I216" s="189"/>
      <c r="J216" s="120" t="s">
        <v>180</v>
      </c>
      <c r="K216" s="121">
        <v>1063.349</v>
      </c>
      <c r="L216" s="188">
        <v>0</v>
      </c>
      <c r="M216" s="189"/>
      <c r="N216" s="190">
        <f>ROUND($L$216*$K$216,2)</f>
        <v>0</v>
      </c>
      <c r="O216" s="189"/>
      <c r="P216" s="189"/>
      <c r="Q216" s="189"/>
      <c r="R216" s="21"/>
      <c r="T216" s="122"/>
      <c r="U216" s="27" t="s">
        <v>40</v>
      </c>
      <c r="V216" s="123">
        <v>0.215</v>
      </c>
      <c r="W216" s="123">
        <f>$V$216*$K$216</f>
        <v>228.62003499999997</v>
      </c>
      <c r="X216" s="123">
        <v>0.0231</v>
      </c>
      <c r="Y216" s="123">
        <f>$X$216*$K$216</f>
        <v>24.563361899999997</v>
      </c>
      <c r="Z216" s="123">
        <v>0.0023</v>
      </c>
      <c r="AA216" s="124">
        <f>$Z$216*$K$216</f>
        <v>2.4457027</v>
      </c>
      <c r="AR216" s="6" t="s">
        <v>148</v>
      </c>
      <c r="AT216" s="6" t="s">
        <v>144</v>
      </c>
      <c r="AU216" s="6" t="s">
        <v>101</v>
      </c>
      <c r="AY216" s="6" t="s">
        <v>143</v>
      </c>
      <c r="BE216" s="76">
        <f>IF($U$216="základní",$N$216,0)</f>
        <v>0</v>
      </c>
      <c r="BF216" s="76">
        <f>IF($U$216="snížená",$N$216,0)</f>
        <v>0</v>
      </c>
      <c r="BG216" s="76">
        <f>IF($U$216="zákl. přenesená",$N$216,0)</f>
        <v>0</v>
      </c>
      <c r="BH216" s="76">
        <f>IF($U$216="sníž. přenesená",$N$216,0)</f>
        <v>0</v>
      </c>
      <c r="BI216" s="76">
        <f>IF($U$216="nulová",$N$216,0)</f>
        <v>0</v>
      </c>
      <c r="BJ216" s="6" t="s">
        <v>17</v>
      </c>
      <c r="BK216" s="76">
        <f>ROUND($L$216*$K$216,2)</f>
        <v>0</v>
      </c>
      <c r="BL216" s="6" t="s">
        <v>148</v>
      </c>
    </row>
    <row r="217" spans="2:51" s="6" customFormat="1" ht="15.75" customHeight="1">
      <c r="B217" s="125"/>
      <c r="E217" s="126"/>
      <c r="F217" s="192" t="s">
        <v>307</v>
      </c>
      <c r="G217" s="193"/>
      <c r="H217" s="193"/>
      <c r="I217" s="193"/>
      <c r="K217" s="127">
        <v>1063.349</v>
      </c>
      <c r="R217" s="128"/>
      <c r="T217" s="129"/>
      <c r="AA217" s="130"/>
      <c r="AT217" s="126" t="s">
        <v>156</v>
      </c>
      <c r="AU217" s="126" t="s">
        <v>101</v>
      </c>
      <c r="AV217" s="126" t="s">
        <v>101</v>
      </c>
      <c r="AW217" s="126" t="s">
        <v>108</v>
      </c>
      <c r="AX217" s="126" t="s">
        <v>75</v>
      </c>
      <c r="AY217" s="126" t="s">
        <v>143</v>
      </c>
    </row>
    <row r="218" spans="2:64" s="6" customFormat="1" ht="39" customHeight="1">
      <c r="B218" s="20"/>
      <c r="C218" s="118" t="s">
        <v>308</v>
      </c>
      <c r="D218" s="118" t="s">
        <v>144</v>
      </c>
      <c r="E218" s="119" t="s">
        <v>309</v>
      </c>
      <c r="F218" s="191" t="s">
        <v>310</v>
      </c>
      <c r="G218" s="189"/>
      <c r="H218" s="189"/>
      <c r="I218" s="189"/>
      <c r="J218" s="120" t="s">
        <v>180</v>
      </c>
      <c r="K218" s="121">
        <v>151.907</v>
      </c>
      <c r="L218" s="188">
        <v>0</v>
      </c>
      <c r="M218" s="189"/>
      <c r="N218" s="190">
        <f>ROUND($L$218*$K$218,2)</f>
        <v>0</v>
      </c>
      <c r="O218" s="189"/>
      <c r="P218" s="189"/>
      <c r="Q218" s="189"/>
      <c r="R218" s="21"/>
      <c r="T218" s="122"/>
      <c r="U218" s="27" t="s">
        <v>40</v>
      </c>
      <c r="V218" s="123">
        <v>0.479</v>
      </c>
      <c r="W218" s="123">
        <f>$V$218*$K$218</f>
        <v>72.763453</v>
      </c>
      <c r="X218" s="123">
        <v>0.00538</v>
      </c>
      <c r="Y218" s="123">
        <f>$X$218*$K$218</f>
        <v>0.81725966</v>
      </c>
      <c r="Z218" s="123">
        <v>0</v>
      </c>
      <c r="AA218" s="124">
        <f>$Z$218*$K$218</f>
        <v>0</v>
      </c>
      <c r="AR218" s="6" t="s">
        <v>148</v>
      </c>
      <c r="AT218" s="6" t="s">
        <v>144</v>
      </c>
      <c r="AU218" s="6" t="s">
        <v>101</v>
      </c>
      <c r="AY218" s="6" t="s">
        <v>143</v>
      </c>
      <c r="BE218" s="76">
        <f>IF($U$218="základní",$N$218,0)</f>
        <v>0</v>
      </c>
      <c r="BF218" s="76">
        <f>IF($U$218="snížená",$N$218,0)</f>
        <v>0</v>
      </c>
      <c r="BG218" s="76">
        <f>IF($U$218="zákl. přenesená",$N$218,0)</f>
        <v>0</v>
      </c>
      <c r="BH218" s="76">
        <f>IF($U$218="sníž. přenesená",$N$218,0)</f>
        <v>0</v>
      </c>
      <c r="BI218" s="76">
        <f>IF($U$218="nulová",$N$218,0)</f>
        <v>0</v>
      </c>
      <c r="BJ218" s="6" t="s">
        <v>17</v>
      </c>
      <c r="BK218" s="76">
        <f>ROUND($L$218*$K$218,2)</f>
        <v>0</v>
      </c>
      <c r="BL218" s="6" t="s">
        <v>148</v>
      </c>
    </row>
    <row r="219" spans="2:64" s="6" customFormat="1" ht="27" customHeight="1">
      <c r="B219" s="20"/>
      <c r="C219" s="118" t="s">
        <v>311</v>
      </c>
      <c r="D219" s="118" t="s">
        <v>144</v>
      </c>
      <c r="E219" s="119" t="s">
        <v>312</v>
      </c>
      <c r="F219" s="191" t="s">
        <v>313</v>
      </c>
      <c r="G219" s="189"/>
      <c r="H219" s="189"/>
      <c r="I219" s="189"/>
      <c r="J219" s="120" t="s">
        <v>147</v>
      </c>
      <c r="K219" s="121">
        <v>607.628</v>
      </c>
      <c r="L219" s="188">
        <v>0</v>
      </c>
      <c r="M219" s="189"/>
      <c r="N219" s="190">
        <f>ROUND($L$219*$K$219,2)</f>
        <v>0</v>
      </c>
      <c r="O219" s="189"/>
      <c r="P219" s="189"/>
      <c r="Q219" s="189"/>
      <c r="R219" s="21"/>
      <c r="T219" s="122"/>
      <c r="U219" s="27" t="s">
        <v>40</v>
      </c>
      <c r="V219" s="123">
        <v>0.297</v>
      </c>
      <c r="W219" s="123">
        <f>$V$219*$K$219</f>
        <v>180.465516</v>
      </c>
      <c r="X219" s="123">
        <v>0.00025</v>
      </c>
      <c r="Y219" s="123">
        <f>$X$219*$K$219</f>
        <v>0.15190700000000001</v>
      </c>
      <c r="Z219" s="123">
        <v>0</v>
      </c>
      <c r="AA219" s="124">
        <f>$Z$219*$K$219</f>
        <v>0</v>
      </c>
      <c r="AR219" s="6" t="s">
        <v>148</v>
      </c>
      <c r="AT219" s="6" t="s">
        <v>144</v>
      </c>
      <c r="AU219" s="6" t="s">
        <v>101</v>
      </c>
      <c r="AY219" s="6" t="s">
        <v>143</v>
      </c>
      <c r="BE219" s="76">
        <f>IF($U$219="základní",$N$219,0)</f>
        <v>0</v>
      </c>
      <c r="BF219" s="76">
        <f>IF($U$219="snížená",$N$219,0)</f>
        <v>0</v>
      </c>
      <c r="BG219" s="76">
        <f>IF($U$219="zákl. přenesená",$N$219,0)</f>
        <v>0</v>
      </c>
      <c r="BH219" s="76">
        <f>IF($U$219="sníž. přenesená",$N$219,0)</f>
        <v>0</v>
      </c>
      <c r="BI219" s="76">
        <f>IF($U$219="nulová",$N$219,0)</f>
        <v>0</v>
      </c>
      <c r="BJ219" s="6" t="s">
        <v>17</v>
      </c>
      <c r="BK219" s="76">
        <f>ROUND($L$219*$K$219,2)</f>
        <v>0</v>
      </c>
      <c r="BL219" s="6" t="s">
        <v>148</v>
      </c>
    </row>
    <row r="220" spans="2:51" s="6" customFormat="1" ht="15.75" customHeight="1">
      <c r="B220" s="125"/>
      <c r="E220" s="126"/>
      <c r="F220" s="192" t="s">
        <v>314</v>
      </c>
      <c r="G220" s="193"/>
      <c r="H220" s="193"/>
      <c r="I220" s="193"/>
      <c r="K220" s="127">
        <v>607.628</v>
      </c>
      <c r="R220" s="128"/>
      <c r="T220" s="129"/>
      <c r="AA220" s="130"/>
      <c r="AT220" s="126" t="s">
        <v>156</v>
      </c>
      <c r="AU220" s="126" t="s">
        <v>101</v>
      </c>
      <c r="AV220" s="126" t="s">
        <v>101</v>
      </c>
      <c r="AW220" s="126" t="s">
        <v>108</v>
      </c>
      <c r="AX220" s="126" t="s">
        <v>75</v>
      </c>
      <c r="AY220" s="126" t="s">
        <v>143</v>
      </c>
    </row>
    <row r="221" spans="2:64" s="6" customFormat="1" ht="39" customHeight="1">
      <c r="B221" s="20"/>
      <c r="C221" s="118" t="s">
        <v>315</v>
      </c>
      <c r="D221" s="118" t="s">
        <v>144</v>
      </c>
      <c r="E221" s="119" t="s">
        <v>316</v>
      </c>
      <c r="F221" s="191" t="s">
        <v>317</v>
      </c>
      <c r="G221" s="189"/>
      <c r="H221" s="189"/>
      <c r="I221" s="189"/>
      <c r="J221" s="120" t="s">
        <v>191</v>
      </c>
      <c r="K221" s="121">
        <v>28.757</v>
      </c>
      <c r="L221" s="188">
        <v>0</v>
      </c>
      <c r="M221" s="189"/>
      <c r="N221" s="190">
        <f>ROUND($L$221*$K$221,2)</f>
        <v>0</v>
      </c>
      <c r="O221" s="189"/>
      <c r="P221" s="189"/>
      <c r="Q221" s="189"/>
      <c r="R221" s="21"/>
      <c r="T221" s="122"/>
      <c r="U221" s="27" t="s">
        <v>40</v>
      </c>
      <c r="V221" s="123">
        <v>0.08</v>
      </c>
      <c r="W221" s="123">
        <f>$V$221*$K$221</f>
        <v>2.3005600000000004</v>
      </c>
      <c r="X221" s="123">
        <v>0</v>
      </c>
      <c r="Y221" s="123">
        <f>$X$221*$K$221</f>
        <v>0</v>
      </c>
      <c r="Z221" s="123">
        <v>0</v>
      </c>
      <c r="AA221" s="124">
        <f>$Z$221*$K$221</f>
        <v>0</v>
      </c>
      <c r="AR221" s="6" t="s">
        <v>148</v>
      </c>
      <c r="AT221" s="6" t="s">
        <v>144</v>
      </c>
      <c r="AU221" s="6" t="s">
        <v>101</v>
      </c>
      <c r="AY221" s="6" t="s">
        <v>143</v>
      </c>
      <c r="BE221" s="76">
        <f>IF($U$221="základní",$N$221,0)</f>
        <v>0</v>
      </c>
      <c r="BF221" s="76">
        <f>IF($U$221="snížená",$N$221,0)</f>
        <v>0</v>
      </c>
      <c r="BG221" s="76">
        <f>IF($U$221="zákl. přenesená",$N$221,0)</f>
        <v>0</v>
      </c>
      <c r="BH221" s="76">
        <f>IF($U$221="sníž. přenesená",$N$221,0)</f>
        <v>0</v>
      </c>
      <c r="BI221" s="76">
        <f>IF($U$221="nulová",$N$221,0)</f>
        <v>0</v>
      </c>
      <c r="BJ221" s="6" t="s">
        <v>17</v>
      </c>
      <c r="BK221" s="76">
        <f>ROUND($L$221*$K$221,2)</f>
        <v>0</v>
      </c>
      <c r="BL221" s="6" t="s">
        <v>148</v>
      </c>
    </row>
    <row r="222" spans="2:64" s="6" customFormat="1" ht="27" customHeight="1">
      <c r="B222" s="20"/>
      <c r="C222" s="118" t="s">
        <v>318</v>
      </c>
      <c r="D222" s="118" t="s">
        <v>144</v>
      </c>
      <c r="E222" s="119" t="s">
        <v>319</v>
      </c>
      <c r="F222" s="191" t="s">
        <v>320</v>
      </c>
      <c r="G222" s="189"/>
      <c r="H222" s="189"/>
      <c r="I222" s="189"/>
      <c r="J222" s="120" t="s">
        <v>191</v>
      </c>
      <c r="K222" s="121">
        <v>718.925</v>
      </c>
      <c r="L222" s="188">
        <v>0</v>
      </c>
      <c r="M222" s="189"/>
      <c r="N222" s="190">
        <f>ROUND($L$222*$K$222,2)</f>
        <v>0</v>
      </c>
      <c r="O222" s="189"/>
      <c r="P222" s="189"/>
      <c r="Q222" s="189"/>
      <c r="R222" s="21"/>
      <c r="T222" s="122"/>
      <c r="U222" s="27" t="s">
        <v>40</v>
      </c>
      <c r="V222" s="123">
        <v>0.014</v>
      </c>
      <c r="W222" s="123">
        <f>$V$222*$K$222</f>
        <v>10.06495</v>
      </c>
      <c r="X222" s="123">
        <v>0</v>
      </c>
      <c r="Y222" s="123">
        <f>$X$222*$K$222</f>
        <v>0</v>
      </c>
      <c r="Z222" s="123">
        <v>0</v>
      </c>
      <c r="AA222" s="124">
        <f>$Z$222*$K$222</f>
        <v>0</v>
      </c>
      <c r="AR222" s="6" t="s">
        <v>148</v>
      </c>
      <c r="AT222" s="6" t="s">
        <v>144</v>
      </c>
      <c r="AU222" s="6" t="s">
        <v>101</v>
      </c>
      <c r="AY222" s="6" t="s">
        <v>143</v>
      </c>
      <c r="BE222" s="76">
        <f>IF($U$222="základní",$N$222,0)</f>
        <v>0</v>
      </c>
      <c r="BF222" s="76">
        <f>IF($U$222="snížená",$N$222,0)</f>
        <v>0</v>
      </c>
      <c r="BG222" s="76">
        <f>IF($U$222="zákl. přenesená",$N$222,0)</f>
        <v>0</v>
      </c>
      <c r="BH222" s="76">
        <f>IF($U$222="sníž. přenesená",$N$222,0)</f>
        <v>0</v>
      </c>
      <c r="BI222" s="76">
        <f>IF($U$222="nulová",$N$222,0)</f>
        <v>0</v>
      </c>
      <c r="BJ222" s="6" t="s">
        <v>17</v>
      </c>
      <c r="BK222" s="76">
        <f>ROUND($L$222*$K$222,2)</f>
        <v>0</v>
      </c>
      <c r="BL222" s="6" t="s">
        <v>148</v>
      </c>
    </row>
    <row r="223" spans="2:64" s="6" customFormat="1" ht="39" customHeight="1">
      <c r="B223" s="20"/>
      <c r="C223" s="118" t="s">
        <v>321</v>
      </c>
      <c r="D223" s="118" t="s">
        <v>144</v>
      </c>
      <c r="E223" s="119" t="s">
        <v>322</v>
      </c>
      <c r="F223" s="191" t="s">
        <v>323</v>
      </c>
      <c r="G223" s="189"/>
      <c r="H223" s="189"/>
      <c r="I223" s="189"/>
      <c r="J223" s="120" t="s">
        <v>191</v>
      </c>
      <c r="K223" s="121">
        <v>28.757</v>
      </c>
      <c r="L223" s="188">
        <v>0</v>
      </c>
      <c r="M223" s="189"/>
      <c r="N223" s="190">
        <f>ROUND($L$223*$K$223,2)</f>
        <v>0</v>
      </c>
      <c r="O223" s="189"/>
      <c r="P223" s="189"/>
      <c r="Q223" s="189"/>
      <c r="R223" s="21"/>
      <c r="T223" s="122"/>
      <c r="U223" s="27" t="s">
        <v>40</v>
      </c>
      <c r="V223" s="123">
        <v>1.569</v>
      </c>
      <c r="W223" s="123">
        <f>$V$223*$K$223</f>
        <v>45.119733000000004</v>
      </c>
      <c r="X223" s="123">
        <v>0</v>
      </c>
      <c r="Y223" s="123">
        <f>$X$223*$K$223</f>
        <v>0</v>
      </c>
      <c r="Z223" s="123">
        <v>0</v>
      </c>
      <c r="AA223" s="124">
        <f>$Z$223*$K$223</f>
        <v>0</v>
      </c>
      <c r="AR223" s="6" t="s">
        <v>148</v>
      </c>
      <c r="AT223" s="6" t="s">
        <v>144</v>
      </c>
      <c r="AU223" s="6" t="s">
        <v>101</v>
      </c>
      <c r="AY223" s="6" t="s">
        <v>143</v>
      </c>
      <c r="BE223" s="76">
        <f>IF($U$223="základní",$N$223,0)</f>
        <v>0</v>
      </c>
      <c r="BF223" s="76">
        <f>IF($U$223="snížená",$N$223,0)</f>
        <v>0</v>
      </c>
      <c r="BG223" s="76">
        <f>IF($U$223="zákl. přenesená",$N$223,0)</f>
        <v>0</v>
      </c>
      <c r="BH223" s="76">
        <f>IF($U$223="sníž. přenesená",$N$223,0)</f>
        <v>0</v>
      </c>
      <c r="BI223" s="76">
        <f>IF($U$223="nulová",$N$223,0)</f>
        <v>0</v>
      </c>
      <c r="BJ223" s="6" t="s">
        <v>17</v>
      </c>
      <c r="BK223" s="76">
        <f>ROUND($L$223*$K$223,2)</f>
        <v>0</v>
      </c>
      <c r="BL223" s="6" t="s">
        <v>148</v>
      </c>
    </row>
    <row r="224" spans="2:64" s="6" customFormat="1" ht="27" customHeight="1">
      <c r="B224" s="20"/>
      <c r="C224" s="118" t="s">
        <v>324</v>
      </c>
      <c r="D224" s="118" t="s">
        <v>144</v>
      </c>
      <c r="E224" s="119" t="s">
        <v>325</v>
      </c>
      <c r="F224" s="191" t="s">
        <v>326</v>
      </c>
      <c r="G224" s="189"/>
      <c r="H224" s="189"/>
      <c r="I224" s="189"/>
      <c r="J224" s="120" t="s">
        <v>191</v>
      </c>
      <c r="K224" s="121">
        <v>28.757</v>
      </c>
      <c r="L224" s="188">
        <v>0</v>
      </c>
      <c r="M224" s="189"/>
      <c r="N224" s="190">
        <f>ROUND($L$224*$K$224,2)</f>
        <v>0</v>
      </c>
      <c r="O224" s="189"/>
      <c r="P224" s="189"/>
      <c r="Q224" s="189"/>
      <c r="R224" s="21"/>
      <c r="T224" s="122"/>
      <c r="U224" s="27" t="s">
        <v>40</v>
      </c>
      <c r="V224" s="123">
        <v>0</v>
      </c>
      <c r="W224" s="123">
        <f>$V$224*$K$224</f>
        <v>0</v>
      </c>
      <c r="X224" s="123">
        <v>0</v>
      </c>
      <c r="Y224" s="123">
        <f>$X$224*$K$224</f>
        <v>0</v>
      </c>
      <c r="Z224" s="123">
        <v>0</v>
      </c>
      <c r="AA224" s="124">
        <f>$Z$224*$K$224</f>
        <v>0</v>
      </c>
      <c r="AR224" s="6" t="s">
        <v>148</v>
      </c>
      <c r="AT224" s="6" t="s">
        <v>144</v>
      </c>
      <c r="AU224" s="6" t="s">
        <v>101</v>
      </c>
      <c r="AY224" s="6" t="s">
        <v>143</v>
      </c>
      <c r="BE224" s="76">
        <f>IF($U$224="základní",$N$224,0)</f>
        <v>0</v>
      </c>
      <c r="BF224" s="76">
        <f>IF($U$224="snížená",$N$224,0)</f>
        <v>0</v>
      </c>
      <c r="BG224" s="76">
        <f>IF($U$224="zákl. přenesená",$N$224,0)</f>
        <v>0</v>
      </c>
      <c r="BH224" s="76">
        <f>IF($U$224="sníž. přenesená",$N$224,0)</f>
        <v>0</v>
      </c>
      <c r="BI224" s="76">
        <f>IF($U$224="nulová",$N$224,0)</f>
        <v>0</v>
      </c>
      <c r="BJ224" s="6" t="s">
        <v>17</v>
      </c>
      <c r="BK224" s="76">
        <f>ROUND($L$224*$K$224,2)</f>
        <v>0</v>
      </c>
      <c r="BL224" s="6" t="s">
        <v>148</v>
      </c>
    </row>
    <row r="225" spans="2:63" s="108" customFormat="1" ht="23.25" customHeight="1">
      <c r="B225" s="109"/>
      <c r="D225" s="117" t="s">
        <v>115</v>
      </c>
      <c r="N225" s="181">
        <f>$BK$225</f>
        <v>0</v>
      </c>
      <c r="O225" s="182"/>
      <c r="P225" s="182"/>
      <c r="Q225" s="182"/>
      <c r="R225" s="112"/>
      <c r="T225" s="113"/>
      <c r="W225" s="114">
        <f>$W$226</f>
        <v>396.6533600000001</v>
      </c>
      <c r="Y225" s="114">
        <f>$Y$226</f>
        <v>0</v>
      </c>
      <c r="AA225" s="115">
        <f>$AA$226</f>
        <v>0</v>
      </c>
      <c r="AR225" s="111" t="s">
        <v>17</v>
      </c>
      <c r="AT225" s="111" t="s">
        <v>74</v>
      </c>
      <c r="AU225" s="111" t="s">
        <v>101</v>
      </c>
      <c r="AY225" s="111" t="s">
        <v>143</v>
      </c>
      <c r="BK225" s="116">
        <f>$BK$226</f>
        <v>0</v>
      </c>
    </row>
    <row r="226" spans="2:64" s="6" customFormat="1" ht="27" customHeight="1">
      <c r="B226" s="20"/>
      <c r="C226" s="118" t="s">
        <v>327</v>
      </c>
      <c r="D226" s="118" t="s">
        <v>144</v>
      </c>
      <c r="E226" s="119" t="s">
        <v>328</v>
      </c>
      <c r="F226" s="191" t="s">
        <v>329</v>
      </c>
      <c r="G226" s="189"/>
      <c r="H226" s="189"/>
      <c r="I226" s="189"/>
      <c r="J226" s="120" t="s">
        <v>191</v>
      </c>
      <c r="K226" s="121">
        <v>72.382</v>
      </c>
      <c r="L226" s="188">
        <v>0</v>
      </c>
      <c r="M226" s="189"/>
      <c r="N226" s="190">
        <f>ROUND($L$226*$K$226,2)</f>
        <v>0</v>
      </c>
      <c r="O226" s="189"/>
      <c r="P226" s="189"/>
      <c r="Q226" s="189"/>
      <c r="R226" s="21"/>
      <c r="T226" s="122"/>
      <c r="U226" s="27" t="s">
        <v>40</v>
      </c>
      <c r="V226" s="123">
        <v>5.48</v>
      </c>
      <c r="W226" s="123">
        <f>$V$226*$K$226</f>
        <v>396.6533600000001</v>
      </c>
      <c r="X226" s="123">
        <v>0</v>
      </c>
      <c r="Y226" s="123">
        <f>$X$226*$K$226</f>
        <v>0</v>
      </c>
      <c r="Z226" s="123">
        <v>0</v>
      </c>
      <c r="AA226" s="124">
        <f>$Z$226*$K$226</f>
        <v>0</v>
      </c>
      <c r="AR226" s="6" t="s">
        <v>148</v>
      </c>
      <c r="AT226" s="6" t="s">
        <v>144</v>
      </c>
      <c r="AU226" s="6" t="s">
        <v>160</v>
      </c>
      <c r="AY226" s="6" t="s">
        <v>143</v>
      </c>
      <c r="BE226" s="76">
        <f>IF($U$226="základní",$N$226,0)</f>
        <v>0</v>
      </c>
      <c r="BF226" s="76">
        <f>IF($U$226="snížená",$N$226,0)</f>
        <v>0</v>
      </c>
      <c r="BG226" s="76">
        <f>IF($U$226="zákl. přenesená",$N$226,0)</f>
        <v>0</v>
      </c>
      <c r="BH226" s="76">
        <f>IF($U$226="sníž. přenesená",$N$226,0)</f>
        <v>0</v>
      </c>
      <c r="BI226" s="76">
        <f>IF($U$226="nulová",$N$226,0)</f>
        <v>0</v>
      </c>
      <c r="BJ226" s="6" t="s">
        <v>17</v>
      </c>
      <c r="BK226" s="76">
        <f>ROUND($L$226*$K$226,2)</f>
        <v>0</v>
      </c>
      <c r="BL226" s="6" t="s">
        <v>148</v>
      </c>
    </row>
    <row r="227" spans="2:63" s="108" customFormat="1" ht="37.5" customHeight="1">
      <c r="B227" s="109"/>
      <c r="D227" s="110" t="s">
        <v>116</v>
      </c>
      <c r="N227" s="183">
        <f>$BK$227</f>
        <v>0</v>
      </c>
      <c r="O227" s="182"/>
      <c r="P227" s="182"/>
      <c r="Q227" s="182"/>
      <c r="R227" s="112"/>
      <c r="T227" s="113"/>
      <c r="W227" s="114">
        <f>$W$228</f>
        <v>3.4870020000000004</v>
      </c>
      <c r="Y227" s="114">
        <f>$Y$228</f>
        <v>0.05925</v>
      </c>
      <c r="AA227" s="115">
        <f>$AA$228</f>
        <v>0.2148</v>
      </c>
      <c r="AR227" s="111" t="s">
        <v>101</v>
      </c>
      <c r="AT227" s="111" t="s">
        <v>74</v>
      </c>
      <c r="AU227" s="111" t="s">
        <v>75</v>
      </c>
      <c r="AY227" s="111" t="s">
        <v>143</v>
      </c>
      <c r="BK227" s="116">
        <f>$BK$228</f>
        <v>0</v>
      </c>
    </row>
    <row r="228" spans="2:63" s="108" customFormat="1" ht="21" customHeight="1">
      <c r="B228" s="109"/>
      <c r="D228" s="117" t="s">
        <v>117</v>
      </c>
      <c r="N228" s="181">
        <f>$BK$228</f>
        <v>0</v>
      </c>
      <c r="O228" s="182"/>
      <c r="P228" s="182"/>
      <c r="Q228" s="182"/>
      <c r="R228" s="112"/>
      <c r="T228" s="113"/>
      <c r="W228" s="114">
        <f>SUM($W$229:$W$233)</f>
        <v>3.4870020000000004</v>
      </c>
      <c r="Y228" s="114">
        <f>SUM($Y$229:$Y$233)</f>
        <v>0.05925</v>
      </c>
      <c r="AA228" s="115">
        <f>SUM($AA$229:$AA$233)</f>
        <v>0.2148</v>
      </c>
      <c r="AR228" s="111" t="s">
        <v>101</v>
      </c>
      <c r="AT228" s="111" t="s">
        <v>74</v>
      </c>
      <c r="AU228" s="111" t="s">
        <v>17</v>
      </c>
      <c r="AY228" s="111" t="s">
        <v>143</v>
      </c>
      <c r="BK228" s="116">
        <f>SUM($BK$229:$BK$233)</f>
        <v>0</v>
      </c>
    </row>
    <row r="229" spans="2:64" s="6" customFormat="1" ht="27" customHeight="1">
      <c r="B229" s="20"/>
      <c r="C229" s="118" t="s">
        <v>330</v>
      </c>
      <c r="D229" s="118" t="s">
        <v>144</v>
      </c>
      <c r="E229" s="119" t="s">
        <v>331</v>
      </c>
      <c r="F229" s="191" t="s">
        <v>332</v>
      </c>
      <c r="G229" s="189"/>
      <c r="H229" s="189"/>
      <c r="I229" s="189"/>
      <c r="J229" s="120" t="s">
        <v>217</v>
      </c>
      <c r="K229" s="121">
        <v>0.75</v>
      </c>
      <c r="L229" s="188">
        <v>0</v>
      </c>
      <c r="M229" s="189"/>
      <c r="N229" s="190">
        <f>ROUND($L$229*$K$229,2)</f>
        <v>0</v>
      </c>
      <c r="O229" s="189"/>
      <c r="P229" s="189"/>
      <c r="Q229" s="189"/>
      <c r="R229" s="21"/>
      <c r="T229" s="122"/>
      <c r="U229" s="27" t="s">
        <v>40</v>
      </c>
      <c r="V229" s="123">
        <v>1.47</v>
      </c>
      <c r="W229" s="123">
        <f>$V$229*$K$229</f>
        <v>1.1025</v>
      </c>
      <c r="X229" s="123">
        <v>0.01304</v>
      </c>
      <c r="Y229" s="123">
        <f>$X$229*$K$229</f>
        <v>0.00978</v>
      </c>
      <c r="Z229" s="123">
        <v>0</v>
      </c>
      <c r="AA229" s="124">
        <f>$Z$229*$K$229</f>
        <v>0</v>
      </c>
      <c r="AR229" s="6" t="s">
        <v>234</v>
      </c>
      <c r="AT229" s="6" t="s">
        <v>144</v>
      </c>
      <c r="AU229" s="6" t="s">
        <v>101</v>
      </c>
      <c r="AY229" s="6" t="s">
        <v>143</v>
      </c>
      <c r="BE229" s="76">
        <f>IF($U$229="základní",$N$229,0)</f>
        <v>0</v>
      </c>
      <c r="BF229" s="76">
        <f>IF($U$229="snížená",$N$229,0)</f>
        <v>0</v>
      </c>
      <c r="BG229" s="76">
        <f>IF($U$229="zákl. přenesená",$N$229,0)</f>
        <v>0</v>
      </c>
      <c r="BH229" s="76">
        <f>IF($U$229="sníž. přenesená",$N$229,0)</f>
        <v>0</v>
      </c>
      <c r="BI229" s="76">
        <f>IF($U$229="nulová",$N$229,0)</f>
        <v>0</v>
      </c>
      <c r="BJ229" s="6" t="s">
        <v>17</v>
      </c>
      <c r="BK229" s="76">
        <f>ROUND($L$229*$K$229,2)</f>
        <v>0</v>
      </c>
      <c r="BL229" s="6" t="s">
        <v>234</v>
      </c>
    </row>
    <row r="230" spans="2:64" s="6" customFormat="1" ht="27" customHeight="1">
      <c r="B230" s="20"/>
      <c r="C230" s="118" t="s">
        <v>333</v>
      </c>
      <c r="D230" s="118" t="s">
        <v>144</v>
      </c>
      <c r="E230" s="119" t="s">
        <v>334</v>
      </c>
      <c r="F230" s="191" t="s">
        <v>335</v>
      </c>
      <c r="G230" s="189"/>
      <c r="H230" s="189"/>
      <c r="I230" s="189"/>
      <c r="J230" s="120" t="s">
        <v>217</v>
      </c>
      <c r="K230" s="121">
        <v>12</v>
      </c>
      <c r="L230" s="188">
        <v>0</v>
      </c>
      <c r="M230" s="189"/>
      <c r="N230" s="190">
        <f>ROUND($L$230*$K$230,2)</f>
        <v>0</v>
      </c>
      <c r="O230" s="189"/>
      <c r="P230" s="189"/>
      <c r="Q230" s="189"/>
      <c r="R230" s="21"/>
      <c r="T230" s="122"/>
      <c r="U230" s="27" t="s">
        <v>40</v>
      </c>
      <c r="V230" s="123">
        <v>0.12</v>
      </c>
      <c r="W230" s="123">
        <f>$V$230*$K$230</f>
        <v>1.44</v>
      </c>
      <c r="X230" s="123">
        <v>0</v>
      </c>
      <c r="Y230" s="123">
        <f>$X$230*$K$230</f>
        <v>0</v>
      </c>
      <c r="Z230" s="123">
        <v>0.0179</v>
      </c>
      <c r="AA230" s="124">
        <f>$Z$230*$K$230</f>
        <v>0.2148</v>
      </c>
      <c r="AR230" s="6" t="s">
        <v>234</v>
      </c>
      <c r="AT230" s="6" t="s">
        <v>144</v>
      </c>
      <c r="AU230" s="6" t="s">
        <v>101</v>
      </c>
      <c r="AY230" s="6" t="s">
        <v>143</v>
      </c>
      <c r="BE230" s="76">
        <f>IF($U$230="základní",$N$230,0)</f>
        <v>0</v>
      </c>
      <c r="BF230" s="76">
        <f>IF($U$230="snížená",$N$230,0)</f>
        <v>0</v>
      </c>
      <c r="BG230" s="76">
        <f>IF($U$230="zákl. přenesená",$N$230,0)</f>
        <v>0</v>
      </c>
      <c r="BH230" s="76">
        <f>IF($U$230="sníž. přenesená",$N$230,0)</f>
        <v>0</v>
      </c>
      <c r="BI230" s="76">
        <f>IF($U$230="nulová",$N$230,0)</f>
        <v>0</v>
      </c>
      <c r="BJ230" s="6" t="s">
        <v>17</v>
      </c>
      <c r="BK230" s="76">
        <f>ROUND($L$230*$K$230,2)</f>
        <v>0</v>
      </c>
      <c r="BL230" s="6" t="s">
        <v>234</v>
      </c>
    </row>
    <row r="231" spans="2:51" s="6" customFormat="1" ht="15.75" customHeight="1">
      <c r="B231" s="125"/>
      <c r="E231" s="126"/>
      <c r="F231" s="192" t="s">
        <v>336</v>
      </c>
      <c r="G231" s="193"/>
      <c r="H231" s="193"/>
      <c r="I231" s="193"/>
      <c r="K231" s="127">
        <v>12</v>
      </c>
      <c r="R231" s="128"/>
      <c r="T231" s="129"/>
      <c r="AA231" s="130"/>
      <c r="AT231" s="126" t="s">
        <v>156</v>
      </c>
      <c r="AU231" s="126" t="s">
        <v>101</v>
      </c>
      <c r="AV231" s="126" t="s">
        <v>101</v>
      </c>
      <c r="AW231" s="126" t="s">
        <v>108</v>
      </c>
      <c r="AX231" s="126" t="s">
        <v>75</v>
      </c>
      <c r="AY231" s="126" t="s">
        <v>143</v>
      </c>
    </row>
    <row r="232" spans="2:64" s="6" customFormat="1" ht="39" customHeight="1">
      <c r="B232" s="20"/>
      <c r="C232" s="118" t="s">
        <v>337</v>
      </c>
      <c r="D232" s="118" t="s">
        <v>144</v>
      </c>
      <c r="E232" s="119" t="s">
        <v>338</v>
      </c>
      <c r="F232" s="191" t="s">
        <v>339</v>
      </c>
      <c r="G232" s="189"/>
      <c r="H232" s="189"/>
      <c r="I232" s="189"/>
      <c r="J232" s="120" t="s">
        <v>217</v>
      </c>
      <c r="K232" s="121">
        <v>1.5</v>
      </c>
      <c r="L232" s="188">
        <v>0</v>
      </c>
      <c r="M232" s="189"/>
      <c r="N232" s="190">
        <f>ROUND($L$232*$K$232,2)</f>
        <v>0</v>
      </c>
      <c r="O232" s="189"/>
      <c r="P232" s="189"/>
      <c r="Q232" s="189"/>
      <c r="R232" s="21"/>
      <c r="T232" s="122"/>
      <c r="U232" s="27" t="s">
        <v>40</v>
      </c>
      <c r="V232" s="123">
        <v>0.544</v>
      </c>
      <c r="W232" s="123">
        <f>$V$232*$K$232</f>
        <v>0.8160000000000001</v>
      </c>
      <c r="X232" s="123">
        <v>0.03298</v>
      </c>
      <c r="Y232" s="123">
        <f>$X$232*$K$232</f>
        <v>0.04947</v>
      </c>
      <c r="Z232" s="123">
        <v>0</v>
      </c>
      <c r="AA232" s="124">
        <f>$Z$232*$K$232</f>
        <v>0</v>
      </c>
      <c r="AR232" s="6" t="s">
        <v>234</v>
      </c>
      <c r="AT232" s="6" t="s">
        <v>144</v>
      </c>
      <c r="AU232" s="6" t="s">
        <v>101</v>
      </c>
      <c r="AY232" s="6" t="s">
        <v>143</v>
      </c>
      <c r="BE232" s="76">
        <f>IF($U$232="základní",$N$232,0)</f>
        <v>0</v>
      </c>
      <c r="BF232" s="76">
        <f>IF($U$232="snížená",$N$232,0)</f>
        <v>0</v>
      </c>
      <c r="BG232" s="76">
        <f>IF($U$232="zákl. přenesená",$N$232,0)</f>
        <v>0</v>
      </c>
      <c r="BH232" s="76">
        <f>IF($U$232="sníž. přenesená",$N$232,0)</f>
        <v>0</v>
      </c>
      <c r="BI232" s="76">
        <f>IF($U$232="nulová",$N$232,0)</f>
        <v>0</v>
      </c>
      <c r="BJ232" s="6" t="s">
        <v>17</v>
      </c>
      <c r="BK232" s="76">
        <f>ROUND($L$232*$K$232,2)</f>
        <v>0</v>
      </c>
      <c r="BL232" s="6" t="s">
        <v>234</v>
      </c>
    </row>
    <row r="233" spans="2:64" s="6" customFormat="1" ht="27" customHeight="1">
      <c r="B233" s="20"/>
      <c r="C233" s="118" t="s">
        <v>340</v>
      </c>
      <c r="D233" s="118" t="s">
        <v>144</v>
      </c>
      <c r="E233" s="119" t="s">
        <v>341</v>
      </c>
      <c r="F233" s="191" t="s">
        <v>342</v>
      </c>
      <c r="G233" s="189"/>
      <c r="H233" s="189"/>
      <c r="I233" s="189"/>
      <c r="J233" s="120" t="s">
        <v>191</v>
      </c>
      <c r="K233" s="121">
        <v>0.059</v>
      </c>
      <c r="L233" s="188">
        <v>0</v>
      </c>
      <c r="M233" s="189"/>
      <c r="N233" s="190">
        <f>ROUND($L$233*$K$233,2)</f>
        <v>0</v>
      </c>
      <c r="O233" s="189"/>
      <c r="P233" s="189"/>
      <c r="Q233" s="189"/>
      <c r="R233" s="21"/>
      <c r="T233" s="122"/>
      <c r="U233" s="27" t="s">
        <v>40</v>
      </c>
      <c r="V233" s="123">
        <v>2.178</v>
      </c>
      <c r="W233" s="123">
        <f>$V$233*$K$233</f>
        <v>0.12850199999999998</v>
      </c>
      <c r="X233" s="123">
        <v>0</v>
      </c>
      <c r="Y233" s="123">
        <f>$X$233*$K$233</f>
        <v>0</v>
      </c>
      <c r="Z233" s="123">
        <v>0</v>
      </c>
      <c r="AA233" s="124">
        <f>$Z$233*$K$233</f>
        <v>0</v>
      </c>
      <c r="AR233" s="6" t="s">
        <v>234</v>
      </c>
      <c r="AT233" s="6" t="s">
        <v>144</v>
      </c>
      <c r="AU233" s="6" t="s">
        <v>101</v>
      </c>
      <c r="AY233" s="6" t="s">
        <v>143</v>
      </c>
      <c r="BE233" s="76">
        <f>IF($U$233="základní",$N$233,0)</f>
        <v>0</v>
      </c>
      <c r="BF233" s="76">
        <f>IF($U$233="snížená",$N$233,0)</f>
        <v>0</v>
      </c>
      <c r="BG233" s="76">
        <f>IF($U$233="zákl. přenesená",$N$233,0)</f>
        <v>0</v>
      </c>
      <c r="BH233" s="76">
        <f>IF($U$233="sníž. přenesená",$N$233,0)</f>
        <v>0</v>
      </c>
      <c r="BI233" s="76">
        <f>IF($U$233="nulová",$N$233,0)</f>
        <v>0</v>
      </c>
      <c r="BJ233" s="6" t="s">
        <v>17</v>
      </c>
      <c r="BK233" s="76">
        <f>ROUND($L$233*$K$233,2)</f>
        <v>0</v>
      </c>
      <c r="BL233" s="6" t="s">
        <v>234</v>
      </c>
    </row>
    <row r="234" spans="2:63" s="6" customFormat="1" ht="51" customHeight="1">
      <c r="B234" s="20"/>
      <c r="D234" s="110" t="s">
        <v>343</v>
      </c>
      <c r="N234" s="183">
        <f>$BK$234</f>
        <v>0</v>
      </c>
      <c r="O234" s="151"/>
      <c r="P234" s="151"/>
      <c r="Q234" s="151"/>
      <c r="R234" s="21"/>
      <c r="T234" s="52"/>
      <c r="AA234" s="53"/>
      <c r="AT234" s="6" t="s">
        <v>74</v>
      </c>
      <c r="AU234" s="6" t="s">
        <v>75</v>
      </c>
      <c r="AY234" s="6" t="s">
        <v>344</v>
      </c>
      <c r="BK234" s="76">
        <f>SUM($BK$235:$BK$239)</f>
        <v>0</v>
      </c>
    </row>
    <row r="235" spans="2:63" s="6" customFormat="1" ht="23.25" customHeight="1">
      <c r="B235" s="20"/>
      <c r="C235" s="135"/>
      <c r="D235" s="135" t="s">
        <v>144</v>
      </c>
      <c r="E235" s="136"/>
      <c r="F235" s="186"/>
      <c r="G235" s="187"/>
      <c r="H235" s="187"/>
      <c r="I235" s="187"/>
      <c r="J235" s="137"/>
      <c r="K235" s="138"/>
      <c r="L235" s="188"/>
      <c r="M235" s="189"/>
      <c r="N235" s="190">
        <f>$BK$235</f>
        <v>0</v>
      </c>
      <c r="O235" s="189"/>
      <c r="P235" s="189"/>
      <c r="Q235" s="189"/>
      <c r="R235" s="21"/>
      <c r="T235" s="122"/>
      <c r="U235" s="139" t="s">
        <v>40</v>
      </c>
      <c r="AA235" s="53"/>
      <c r="AT235" s="6" t="s">
        <v>344</v>
      </c>
      <c r="AU235" s="6" t="s">
        <v>17</v>
      </c>
      <c r="AY235" s="6" t="s">
        <v>344</v>
      </c>
      <c r="BE235" s="76">
        <f>IF($U$235="základní",$N$235,0)</f>
        <v>0</v>
      </c>
      <c r="BF235" s="76">
        <f>IF($U$235="snížená",$N$235,0)</f>
        <v>0</v>
      </c>
      <c r="BG235" s="76">
        <f>IF($U$235="zákl. přenesená",$N$235,0)</f>
        <v>0</v>
      </c>
      <c r="BH235" s="76">
        <f>IF($U$235="sníž. přenesená",$N$235,0)</f>
        <v>0</v>
      </c>
      <c r="BI235" s="76">
        <f>IF($U$235="nulová",$N$235,0)</f>
        <v>0</v>
      </c>
      <c r="BJ235" s="6" t="s">
        <v>17</v>
      </c>
      <c r="BK235" s="76">
        <f>$L$235*$K$235</f>
        <v>0</v>
      </c>
    </row>
    <row r="236" spans="2:63" s="6" customFormat="1" ht="23.25" customHeight="1">
      <c r="B236" s="20"/>
      <c r="C236" s="135"/>
      <c r="D236" s="135" t="s">
        <v>144</v>
      </c>
      <c r="E236" s="136"/>
      <c r="F236" s="186"/>
      <c r="G236" s="187"/>
      <c r="H236" s="187"/>
      <c r="I236" s="187"/>
      <c r="J236" s="137"/>
      <c r="K236" s="138"/>
      <c r="L236" s="188"/>
      <c r="M236" s="189"/>
      <c r="N236" s="190">
        <f>$BK$236</f>
        <v>0</v>
      </c>
      <c r="O236" s="189"/>
      <c r="P236" s="189"/>
      <c r="Q236" s="189"/>
      <c r="R236" s="21"/>
      <c r="T236" s="122"/>
      <c r="U236" s="139" t="s">
        <v>40</v>
      </c>
      <c r="AA236" s="53"/>
      <c r="AT236" s="6" t="s">
        <v>344</v>
      </c>
      <c r="AU236" s="6" t="s">
        <v>17</v>
      </c>
      <c r="AY236" s="6" t="s">
        <v>344</v>
      </c>
      <c r="BE236" s="76">
        <f>IF($U$236="základní",$N$236,0)</f>
        <v>0</v>
      </c>
      <c r="BF236" s="76">
        <f>IF($U$236="snížená",$N$236,0)</f>
        <v>0</v>
      </c>
      <c r="BG236" s="76">
        <f>IF($U$236="zákl. přenesená",$N$236,0)</f>
        <v>0</v>
      </c>
      <c r="BH236" s="76">
        <f>IF($U$236="sníž. přenesená",$N$236,0)</f>
        <v>0</v>
      </c>
      <c r="BI236" s="76">
        <f>IF($U$236="nulová",$N$236,0)</f>
        <v>0</v>
      </c>
      <c r="BJ236" s="6" t="s">
        <v>17</v>
      </c>
      <c r="BK236" s="76">
        <f>$L$236*$K$236</f>
        <v>0</v>
      </c>
    </row>
    <row r="237" spans="2:63" s="6" customFormat="1" ht="23.25" customHeight="1">
      <c r="B237" s="20"/>
      <c r="C237" s="135"/>
      <c r="D237" s="135" t="s">
        <v>144</v>
      </c>
      <c r="E237" s="136"/>
      <c r="F237" s="186"/>
      <c r="G237" s="187"/>
      <c r="H237" s="187"/>
      <c r="I237" s="187"/>
      <c r="J237" s="137"/>
      <c r="K237" s="138"/>
      <c r="L237" s="188"/>
      <c r="M237" s="189"/>
      <c r="N237" s="190">
        <f>$BK$237</f>
        <v>0</v>
      </c>
      <c r="O237" s="189"/>
      <c r="P237" s="189"/>
      <c r="Q237" s="189"/>
      <c r="R237" s="21"/>
      <c r="T237" s="122"/>
      <c r="U237" s="139" t="s">
        <v>40</v>
      </c>
      <c r="AA237" s="53"/>
      <c r="AT237" s="6" t="s">
        <v>344</v>
      </c>
      <c r="AU237" s="6" t="s">
        <v>17</v>
      </c>
      <c r="AY237" s="6" t="s">
        <v>344</v>
      </c>
      <c r="BE237" s="76">
        <f>IF($U$237="základní",$N$237,0)</f>
        <v>0</v>
      </c>
      <c r="BF237" s="76">
        <f>IF($U$237="snížená",$N$237,0)</f>
        <v>0</v>
      </c>
      <c r="BG237" s="76">
        <f>IF($U$237="zákl. přenesená",$N$237,0)</f>
        <v>0</v>
      </c>
      <c r="BH237" s="76">
        <f>IF($U$237="sníž. přenesená",$N$237,0)</f>
        <v>0</v>
      </c>
      <c r="BI237" s="76">
        <f>IF($U$237="nulová",$N$237,0)</f>
        <v>0</v>
      </c>
      <c r="BJ237" s="6" t="s">
        <v>17</v>
      </c>
      <c r="BK237" s="76">
        <f>$L$237*$K$237</f>
        <v>0</v>
      </c>
    </row>
    <row r="238" spans="2:63" s="6" customFormat="1" ht="23.25" customHeight="1">
      <c r="B238" s="20"/>
      <c r="C238" s="135"/>
      <c r="D238" s="135" t="s">
        <v>144</v>
      </c>
      <c r="E238" s="136"/>
      <c r="F238" s="186"/>
      <c r="G238" s="187"/>
      <c r="H238" s="187"/>
      <c r="I238" s="187"/>
      <c r="J238" s="137"/>
      <c r="K238" s="138"/>
      <c r="L238" s="188"/>
      <c r="M238" s="189"/>
      <c r="N238" s="190">
        <f>$BK$238</f>
        <v>0</v>
      </c>
      <c r="O238" s="189"/>
      <c r="P238" s="189"/>
      <c r="Q238" s="189"/>
      <c r="R238" s="21"/>
      <c r="T238" s="122"/>
      <c r="U238" s="139" t="s">
        <v>40</v>
      </c>
      <c r="AA238" s="53"/>
      <c r="AT238" s="6" t="s">
        <v>344</v>
      </c>
      <c r="AU238" s="6" t="s">
        <v>17</v>
      </c>
      <c r="AY238" s="6" t="s">
        <v>344</v>
      </c>
      <c r="BE238" s="76">
        <f>IF($U$238="základní",$N$238,0)</f>
        <v>0</v>
      </c>
      <c r="BF238" s="76">
        <f>IF($U$238="snížená",$N$238,0)</f>
        <v>0</v>
      </c>
      <c r="BG238" s="76">
        <f>IF($U$238="zákl. přenesená",$N$238,0)</f>
        <v>0</v>
      </c>
      <c r="BH238" s="76">
        <f>IF($U$238="sníž. přenesená",$N$238,0)</f>
        <v>0</v>
      </c>
      <c r="BI238" s="76">
        <f>IF($U$238="nulová",$N$238,0)</f>
        <v>0</v>
      </c>
      <c r="BJ238" s="6" t="s">
        <v>17</v>
      </c>
      <c r="BK238" s="76">
        <f>$L$238*$K$238</f>
        <v>0</v>
      </c>
    </row>
    <row r="239" spans="2:63" s="6" customFormat="1" ht="23.25" customHeight="1">
      <c r="B239" s="20"/>
      <c r="C239" s="135"/>
      <c r="D239" s="135" t="s">
        <v>144</v>
      </c>
      <c r="E239" s="136"/>
      <c r="F239" s="186"/>
      <c r="G239" s="187"/>
      <c r="H239" s="187"/>
      <c r="I239" s="187"/>
      <c r="J239" s="137"/>
      <c r="K239" s="138"/>
      <c r="L239" s="188"/>
      <c r="M239" s="189"/>
      <c r="N239" s="190">
        <f>$BK$239</f>
        <v>0</v>
      </c>
      <c r="O239" s="189"/>
      <c r="P239" s="189"/>
      <c r="Q239" s="189"/>
      <c r="R239" s="21"/>
      <c r="T239" s="122"/>
      <c r="U239" s="139" t="s">
        <v>40</v>
      </c>
      <c r="V239" s="39"/>
      <c r="W239" s="39"/>
      <c r="X239" s="39"/>
      <c r="Y239" s="39"/>
      <c r="Z239" s="39"/>
      <c r="AA239" s="41"/>
      <c r="AT239" s="6" t="s">
        <v>344</v>
      </c>
      <c r="AU239" s="6" t="s">
        <v>17</v>
      </c>
      <c r="AY239" s="6" t="s">
        <v>344</v>
      </c>
      <c r="BE239" s="76">
        <f>IF($U$239="základní",$N$239,0)</f>
        <v>0</v>
      </c>
      <c r="BF239" s="76">
        <f>IF($U$239="snížená",$N$239,0)</f>
        <v>0</v>
      </c>
      <c r="BG239" s="76">
        <f>IF($U$239="zákl. přenesená",$N$239,0)</f>
        <v>0</v>
      </c>
      <c r="BH239" s="76">
        <f>IF($U$239="sníž. přenesená",$N$239,0)</f>
        <v>0</v>
      </c>
      <c r="BI239" s="76">
        <f>IF($U$239="nulová",$N$239,0)</f>
        <v>0</v>
      </c>
      <c r="BJ239" s="6" t="s">
        <v>17</v>
      </c>
      <c r="BK239" s="76">
        <f>$L$239*$K$239</f>
        <v>0</v>
      </c>
    </row>
    <row r="240" spans="2:18" s="6" customFormat="1" ht="7.5" customHeight="1">
      <c r="B240" s="42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4"/>
    </row>
    <row r="241" s="2" customFormat="1" ht="14.25" customHeight="1"/>
  </sheetData>
  <sheetProtection/>
  <mergeCells count="291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M23:P23"/>
    <mergeCell ref="M24:P24"/>
    <mergeCell ref="M26:P26"/>
    <mergeCell ref="H28:J28"/>
    <mergeCell ref="M28:P28"/>
    <mergeCell ref="H29:J29"/>
    <mergeCell ref="M29:P29"/>
    <mergeCell ref="H30:J30"/>
    <mergeCell ref="M30:P30"/>
    <mergeCell ref="H31:J31"/>
    <mergeCell ref="M31:P31"/>
    <mergeCell ref="H32:J32"/>
    <mergeCell ref="M32:P32"/>
    <mergeCell ref="L34:P34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105:Q105"/>
    <mergeCell ref="L107:Q107"/>
    <mergeCell ref="C113:Q113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5:I135"/>
    <mergeCell ref="L135:M135"/>
    <mergeCell ref="N135:Q135"/>
    <mergeCell ref="F136:I136"/>
    <mergeCell ref="F138:I138"/>
    <mergeCell ref="L138:M138"/>
    <mergeCell ref="N138:Q138"/>
    <mergeCell ref="F139:I139"/>
    <mergeCell ref="F140:I140"/>
    <mergeCell ref="F141:I141"/>
    <mergeCell ref="L141:M141"/>
    <mergeCell ref="N141:Q141"/>
    <mergeCell ref="F142:I142"/>
    <mergeCell ref="F143:I143"/>
    <mergeCell ref="F144:I144"/>
    <mergeCell ref="F145:I145"/>
    <mergeCell ref="F146:I146"/>
    <mergeCell ref="L146:M146"/>
    <mergeCell ref="N146:Q146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1:I161"/>
    <mergeCell ref="L161:M161"/>
    <mergeCell ref="N161:Q161"/>
    <mergeCell ref="F162:I162"/>
    <mergeCell ref="F164:I164"/>
    <mergeCell ref="L164:M164"/>
    <mergeCell ref="N164:Q164"/>
    <mergeCell ref="N163:Q163"/>
    <mergeCell ref="F165:I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L182:M182"/>
    <mergeCell ref="N182:Q182"/>
    <mergeCell ref="F183:I183"/>
    <mergeCell ref="L183:M183"/>
    <mergeCell ref="N183:Q183"/>
    <mergeCell ref="F184:I184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L204:M204"/>
    <mergeCell ref="N204:Q204"/>
    <mergeCell ref="F205:I205"/>
    <mergeCell ref="F206:I206"/>
    <mergeCell ref="L206:M206"/>
    <mergeCell ref="N206:Q206"/>
    <mergeCell ref="F207:I207"/>
    <mergeCell ref="F208:I208"/>
    <mergeCell ref="L208:M208"/>
    <mergeCell ref="N208:Q208"/>
    <mergeCell ref="F209:I209"/>
    <mergeCell ref="L209:M209"/>
    <mergeCell ref="N209:Q209"/>
    <mergeCell ref="F210:I210"/>
    <mergeCell ref="F211:I211"/>
    <mergeCell ref="F212:I212"/>
    <mergeCell ref="F213:I213"/>
    <mergeCell ref="L213:M213"/>
    <mergeCell ref="N213:Q213"/>
    <mergeCell ref="F214:I214"/>
    <mergeCell ref="F215:I215"/>
    <mergeCell ref="F216:I216"/>
    <mergeCell ref="L216:M216"/>
    <mergeCell ref="N216:Q216"/>
    <mergeCell ref="F217:I217"/>
    <mergeCell ref="F218:I218"/>
    <mergeCell ref="L218:M218"/>
    <mergeCell ref="N218:Q218"/>
    <mergeCell ref="F219:I219"/>
    <mergeCell ref="L219:M219"/>
    <mergeCell ref="N219:Q219"/>
    <mergeCell ref="F220:I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6:I226"/>
    <mergeCell ref="L226:M226"/>
    <mergeCell ref="N226:Q226"/>
    <mergeCell ref="F229:I229"/>
    <mergeCell ref="L229:M229"/>
    <mergeCell ref="N229:Q229"/>
    <mergeCell ref="F230:I230"/>
    <mergeCell ref="L230:M230"/>
    <mergeCell ref="N230:Q230"/>
    <mergeCell ref="F231:I231"/>
    <mergeCell ref="F232:I232"/>
    <mergeCell ref="L232:M232"/>
    <mergeCell ref="N232:Q232"/>
    <mergeCell ref="N236:Q236"/>
    <mergeCell ref="F237:I237"/>
    <mergeCell ref="L237:M237"/>
    <mergeCell ref="N237:Q237"/>
    <mergeCell ref="F233:I233"/>
    <mergeCell ref="L233:M233"/>
    <mergeCell ref="N233:Q233"/>
    <mergeCell ref="F235:I235"/>
    <mergeCell ref="L235:M235"/>
    <mergeCell ref="N235:Q235"/>
    <mergeCell ref="N137:Q137"/>
    <mergeCell ref="N160:Q160"/>
    <mergeCell ref="F238:I238"/>
    <mergeCell ref="L238:M238"/>
    <mergeCell ref="N238:Q238"/>
    <mergeCell ref="F239:I239"/>
    <mergeCell ref="L239:M239"/>
    <mergeCell ref="N239:Q239"/>
    <mergeCell ref="F236:I236"/>
    <mergeCell ref="L236:M236"/>
    <mergeCell ref="N225:Q225"/>
    <mergeCell ref="N227:Q227"/>
    <mergeCell ref="N228:Q228"/>
    <mergeCell ref="N234:Q234"/>
    <mergeCell ref="H1:K1"/>
    <mergeCell ref="S2:AC2"/>
    <mergeCell ref="N123:Q123"/>
    <mergeCell ref="N124:Q124"/>
    <mergeCell ref="N125:Q125"/>
    <mergeCell ref="N134:Q134"/>
  </mergeCells>
  <dataValidations count="2">
    <dataValidation type="list" allowBlank="1" showInputMessage="1" showErrorMessage="1" error="Povoleny jsou hodnoty K a M." sqref="D235:D240">
      <formula1>"K,M"</formula1>
    </dataValidation>
    <dataValidation type="list" allowBlank="1" showInputMessage="1" showErrorMessage="1" error="Povoleny jsou hodnoty základní, snížená, zákl. přenesená, sníž. přenesená, nulová." sqref="U235:U240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5" tooltip="Rekapitulace rozpočtu" display="2) Rekapitulace rozpočtu"/>
    <hyperlink ref="L1" location="C12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Dasa</cp:lastModifiedBy>
  <dcterms:modified xsi:type="dcterms:W3CDTF">2013-04-25T09:28:56Z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