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3-ksi-05 - Oprava opěr..." sheetId="2" r:id="rId2"/>
  </sheets>
  <definedNames>
    <definedName name="_xlnm.Print_Titles" localSheetId="1">'2013-ksi-05 - Oprava opěr...'!$122:$122</definedName>
    <definedName name="_xlnm.Print_Titles" localSheetId="0">'Rekapitulace stavby'!$85:$85</definedName>
    <definedName name="_xlnm.Print_Area" localSheetId="1">'2013-ksi-05 - Oprava opěr...'!$C$4:$Q$70,'2013-ksi-05 - Oprava opěr...'!$C$76:$Q$106,'2013-ksi-05 - Oprava opěr...'!$C$112:$Q$198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<sst xmlns="http://schemas.openxmlformats.org/spreadsheetml/2006/main" count="1053" uniqueCount="309">
  <si>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</si>
  <si>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</si>
  <si>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</si>
  <si>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</si>
  <si>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</si>
  <si>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</si>
  <si>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</si>
  <si>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</si>
  <si>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</si>
  <si>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</si>
  <si>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</si>
  <si>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</si>
  <si>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</si>
  <si>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</si>
  <si>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</si>
  <si>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2013-01 - Oprava a sanace opěrné zdi v Karlových Varech</t>
  </si>
  <si>
    <t>0,1</t>
  </si>
  <si>
    <t>1</t>
  </si>
  <si>
    <t>Místo:</t>
  </si>
  <si>
    <t>Karlovy Vary</t>
  </si>
  <si>
    <t>Datum:</t>
  </si>
  <si>
    <t>10</t>
  </si>
  <si>
    <t>100</t>
  </si>
  <si>
    <t>Objednavatel:</t>
  </si>
  <si>
    <t>IČ:</t>
  </si>
  <si>
    <t>Statutární město Karlovy Vary</t>
  </si>
  <si>
    <t>DIČ:</t>
  </si>
  <si>
    <t>Zhotovitel:</t>
  </si>
  <si>
    <t>Vyplň údaj</t>
  </si>
  <si>
    <t>Projektant:</t>
  </si>
  <si>
    <t>25224581</t>
  </si>
  <si>
    <t>Kancelář stavebního inženýrství s.r.o.</t>
  </si>
  <si>
    <t>CZ25224581</t>
  </si>
  <si>
    <t>True</t>
  </si>
  <si>
    <t>Zpracovatel:</t>
  </si>
  <si>
    <t>D. Kryštovová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</si>
  <si>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</si>
  <si>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</si>
  <si>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</si>
  <si>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</si>
  <si>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</si>
  <si>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</si>
  <si>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</si>
  <si>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</si>
  <si>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</si>
  <si>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</si>
  <si>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</si>
  <si>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</si>
  <si>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</si>
  <si>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</si>
  <si>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</si>
  <si>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</si>
  <si>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</si>
  <si>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</si>
  <si>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</si>
  <si>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</si>
  <si>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</si>
  <si>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</si>
  <si>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</si>
  <si>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</si>
  <si>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</si>
  <si>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</si>
  <si>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</si>
  <si>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</si>
  <si>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</si>
  <si>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</si>
  <si>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</si>
  <si>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</si>
  <si>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</si>
  <si>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</si>
  <si>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</si>
  <si>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</si>
  <si>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</si>
  <si>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</si>
  <si>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</si>
  <si>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</si>
  <si>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</si>
  <si>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</si>
  <si>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{5C7DE652-18A0-4A96-9FC9-AB2EC12C30BD}</t>
  </si>
  <si>
    <t>{00000000-0000-0000-0000-000000000000}</t>
  </si>
  <si>
    <t>2013-ksi-05</t>
  </si>
  <si>
    <t>{3B61DA1A-43CC-4965-9237-8C4E1752BC18}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</si>
  <si>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</si>
  <si>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</si>
  <si>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</si>
  <si>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</si>
  <si>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</si>
  <si>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</si>
  <si>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</si>
  <si>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</si>
  <si>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</si>
  <si>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</si>
  <si>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</si>
  <si>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</si>
  <si>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</si>
  <si>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</si>
  <si>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</si>
  <si>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</si>
  <si>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</si>
  <si>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</si>
  <si>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</si>
  <si>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</si>
  <si>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</si>
  <si>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</si>
  <si>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</si>
  <si>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</si>
  <si>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</si>
  <si>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</si>
  <si>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</si>
  <si>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</si>
  <si>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</si>
  <si>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</si>
  <si>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</si>
  <si>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</si>
  <si>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</si>
  <si>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</si>
  <si>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</si>
  <si>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VP -   Vícepráce</t>
  </si>
  <si>
    <t>2) Ostatní náklady</t>
  </si>
  <si>
    <t>Zařízení staveniště</t>
  </si>
  <si>
    <t>VRN</t>
  </si>
  <si>
    <t>Mimostav. doprava</t>
  </si>
  <si>
    <t>Dopr. opatření,zábor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</si>
  <si>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</si>
  <si>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</si>
  <si>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</si>
  <si>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</si>
  <si>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</si>
  <si>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</si>
  <si>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</si>
  <si>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</si>
  <si>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</si>
  <si>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</si>
  <si>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</si>
  <si>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</si>
  <si>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</si>
  <si>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</si>
  <si>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</si>
  <si>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</si>
  <si>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</si>
  <si>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</si>
  <si>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</si>
  <si>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</si>
  <si>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</si>
  <si>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112151113</t>
  </si>
  <si>
    <t>Směrové kácení stromů s rozřezáním a odvětvením D kmene do 400 mm</t>
  </si>
  <si>
    <t>kus</t>
  </si>
  <si>
    <t>4</t>
  </si>
  <si>
    <t>112201113</t>
  </si>
  <si>
    <t>Odstranění pařezů D do 0,4 m v rovině a svahu 1:5 s odklizením do 20 m a zasypáním jámy</t>
  </si>
  <si>
    <t>46</t>
  </si>
  <si>
    <t>132301201</t>
  </si>
  <si>
    <t>Hloubení rýh š do 2000 mm v hornině tř. 4 objemu do 100 m3</t>
  </si>
  <si>
    <t>m3</t>
  </si>
  <si>
    <t>0,8*1,0*1,5</t>
  </si>
  <si>
    <t>VV</t>
  </si>
  <si>
    <t>47</t>
  </si>
  <si>
    <t>132301209</t>
  </si>
  <si>
    <t>Příplatek za lepivost k hloubení rýh š do 2000 mm v hornině tř. 4</t>
  </si>
  <si>
    <t>3</t>
  </si>
  <si>
    <t>162301412</t>
  </si>
  <si>
    <t>Vodorovné přemístění kmenů stromů listnatých do 5 km D kmene do 500 mm</t>
  </si>
  <si>
    <t>162301422</t>
  </si>
  <si>
    <t>Vodorovné přemístění pařezů do 5 km D do 500 mm</t>
  </si>
  <si>
    <t>48</t>
  </si>
  <si>
    <t>174101101</t>
  </si>
  <si>
    <t>Zásyp jam, šachet rýh nebo kolem objektů sypaninou se zhutněním</t>
  </si>
  <si>
    <t>38</t>
  </si>
  <si>
    <t>274313811</t>
  </si>
  <si>
    <t>Základové pásy z betonu tř. C 30/37 XF1 XA1</t>
  </si>
  <si>
    <t>0,55*0,8*1,0</t>
  </si>
  <si>
    <t>44</t>
  </si>
  <si>
    <t>274351215</t>
  </si>
  <si>
    <t>Zřízení bednění stěn základových pasů</t>
  </si>
  <si>
    <t>m2</t>
  </si>
  <si>
    <t>0,8*1,0*2+0,5*0,8</t>
  </si>
  <si>
    <t>45</t>
  </si>
  <si>
    <t>274351216</t>
  </si>
  <si>
    <t>Odstranění bednění stěn základových pasů</t>
  </si>
  <si>
    <t>39</t>
  </si>
  <si>
    <t>311322611</t>
  </si>
  <si>
    <t>Nosná zeď ze ŽB odolného proti agresivnímu prostředí tř. C 30/37 XA1 XF1 bez výztuže</t>
  </si>
  <si>
    <t>0,55*2,4*1,0</t>
  </si>
  <si>
    <t>40</t>
  </si>
  <si>
    <t>311351105</t>
  </si>
  <si>
    <t>Zřízení oboustranného bednění zdí nosných</t>
  </si>
  <si>
    <t>2,4*1,0*2+0,55*2,4</t>
  </si>
  <si>
    <t>41</t>
  </si>
  <si>
    <t>311351106</t>
  </si>
  <si>
    <t>Odstranění oboustranného bednění zdí nosných</t>
  </si>
  <si>
    <t>5</t>
  </si>
  <si>
    <t>317321018</t>
  </si>
  <si>
    <t>Římsy opěrných zdí a valů ze ŽB tř. C 30/37 XF1 XA1</t>
  </si>
  <si>
    <t>0,12*0,64*16,01</t>
  </si>
  <si>
    <t>6</t>
  </si>
  <si>
    <t>317353111</t>
  </si>
  <si>
    <t>Bednění říms opěrných zdí a valů přímých, zalomených nebo zakřivených zřízení</t>
  </si>
  <si>
    <t>(0,12*2+0,06)*16,01</t>
  </si>
  <si>
    <t>0,12*0,64*4</t>
  </si>
  <si>
    <t>7</t>
  </si>
  <si>
    <t>317353112</t>
  </si>
  <si>
    <t>Bednění říms opěrných zdí a valů přímých, zalomených nebo zakřivených odstranění</t>
  </si>
  <si>
    <t>8</t>
  </si>
  <si>
    <t>317361016</t>
  </si>
  <si>
    <t>Výztuž říms opěrných zdí a valů z betonářské oceli 10 505</t>
  </si>
  <si>
    <t>t</t>
  </si>
  <si>
    <t>1,23*120*0,001</t>
  </si>
  <si>
    <t>34</t>
  </si>
  <si>
    <t>338171113</t>
  </si>
  <si>
    <t>Osazování sloupků a vzpěr plotových ocelových v 2 m se zabetonováním</t>
  </si>
  <si>
    <t>35</t>
  </si>
  <si>
    <t>M</t>
  </si>
  <si>
    <t>553422510</t>
  </si>
  <si>
    <t>sloupek plotový  60x200 Nela-Premium</t>
  </si>
  <si>
    <t>32</t>
  </si>
  <si>
    <t>348171120</t>
  </si>
  <si>
    <t>Osazení rámového oplocení výšky do 1,5 m ve sklonu svahu do 15°</t>
  </si>
  <si>
    <t>m</t>
  </si>
  <si>
    <t>33</t>
  </si>
  <si>
    <t>553423520</t>
  </si>
  <si>
    <t>plotové pole plaňkové z kovových profilů - Nela-Premium</t>
  </si>
  <si>
    <t>9</t>
  </si>
  <si>
    <t>628195001</t>
  </si>
  <si>
    <t>Očištění zdiva nebo betonu zdí a valů před započetím oprav ručně</t>
  </si>
  <si>
    <t>16,01*(2,4+0,48+0,3)</t>
  </si>
  <si>
    <t>931994142</t>
  </si>
  <si>
    <t>Těsnění dilatační spáry betonové konstrukce polyuretanovým tmelem do pl 4,0 cm2</t>
  </si>
  <si>
    <t>11</t>
  </si>
  <si>
    <t>953732212</t>
  </si>
  <si>
    <t>Vložení pvc trubky do odvod otvorů</t>
  </si>
  <si>
    <t>42</t>
  </si>
  <si>
    <t>953945269</t>
  </si>
  <si>
    <t>Kotvy mechanické M 22 dl1000 mm pro  kotvení do betonu, ŽB nebo kamene s vyvrtáním otvoru</t>
  </si>
  <si>
    <t>12</t>
  </si>
  <si>
    <t>953961115</t>
  </si>
  <si>
    <t>Kotvy chemickým tmelem M 18 hl 170 mm do betonu, ŽB nebo kamene s vyvrtáním otvoru</t>
  </si>
  <si>
    <t>16*2</t>
  </si>
  <si>
    <t>13</t>
  </si>
  <si>
    <t>962052314</t>
  </si>
  <si>
    <t>Bourání pilířů ze ŽB</t>
  </si>
  <si>
    <t>0,2*0,2*1,2</t>
  </si>
  <si>
    <t>14</t>
  </si>
  <si>
    <t>966003810</t>
  </si>
  <si>
    <t>Rozebrání oplocení s příčníky a dřevěnými sloupky z prken a latí</t>
  </si>
  <si>
    <t>966054121</t>
  </si>
  <si>
    <t>Vybourání částí ŽB říms vyložených do 500 mm</t>
  </si>
  <si>
    <t>16</t>
  </si>
  <si>
    <t>977151123</t>
  </si>
  <si>
    <t>Jádrové vrty diamantovými korunkami do D 150 mm do stavebních materiálů</t>
  </si>
  <si>
    <t>43</t>
  </si>
  <si>
    <t>977151129</t>
  </si>
  <si>
    <t>Vyčištění stávajících odvodň.otvorů</t>
  </si>
  <si>
    <t>7*0,5</t>
  </si>
  <si>
    <t>17</t>
  </si>
  <si>
    <t>978036181</t>
  </si>
  <si>
    <t>Otlučení vnějších omítek břízolitových o rozsahu do 80 %</t>
  </si>
  <si>
    <t>18</t>
  </si>
  <si>
    <t>985141111</t>
  </si>
  <si>
    <t>Vyčištění trhlin a dutin ve zdivu š do 30 mm hl do 150 mm</t>
  </si>
  <si>
    <t>19</t>
  </si>
  <si>
    <t>985241111</t>
  </si>
  <si>
    <t>Plombování zdiva betonem s upěchováním včetně vybourání narušeného zdiva</t>
  </si>
  <si>
    <t>20</t>
  </si>
  <si>
    <t>589333280</t>
  </si>
  <si>
    <t>směs pro beton třída C30/37 XF1 frakce do 8 mm</t>
  </si>
  <si>
    <t>985324211</t>
  </si>
  <si>
    <t>Ochranný akrylátový nátěr betonu dvojnásobný s impregnací (OS-B)</t>
  </si>
  <si>
    <t>16,01*(2,4+0,12*2+0,06+0,64+0,3)</t>
  </si>
  <si>
    <t>22</t>
  </si>
  <si>
    <t>985521111</t>
  </si>
  <si>
    <t>Stříkaný beton z mokré směsi stěn tl do 30 mm vč. uhlazení povrchu</t>
  </si>
  <si>
    <t>16,01*2,4</t>
  </si>
  <si>
    <t>23</t>
  </si>
  <si>
    <t>985521119</t>
  </si>
  <si>
    <t>Příplatek ke stříkanému betonu z mokré směsi stěn ZKD 10 mm</t>
  </si>
  <si>
    <t>38,424*7</t>
  </si>
  <si>
    <t>24</t>
  </si>
  <si>
    <t>985562312</t>
  </si>
  <si>
    <t>Výztuž stříkaného betonu stěn ze svařovaných sítí jednovrstvých D drátu 6 mm velikost ok přes 100 mm</t>
  </si>
  <si>
    <t>25</t>
  </si>
  <si>
    <t>985564212</t>
  </si>
  <si>
    <t>Kotvičky pro výztuž stříkaného betonu hl do 200 mm z oceli D 8 mm do chemické malty</t>
  </si>
  <si>
    <t>38,424*4</t>
  </si>
  <si>
    <t>26</t>
  </si>
  <si>
    <t>997002511</t>
  </si>
  <si>
    <t>Vodorovné přemístění suti a vybouraných hmot bez naložení ale se složením a urovnáním do 1 km</t>
  </si>
  <si>
    <t>27</t>
  </si>
  <si>
    <t>997002519</t>
  </si>
  <si>
    <t>Příplatek ZKD 1 km přemístění suti a vybouraných hmot</t>
  </si>
  <si>
    <t>28</t>
  </si>
  <si>
    <t>997013111</t>
  </si>
  <si>
    <t>Vnitrostaveništní doprava suti a vybouraných hmot pro budovy v do 6 m s použitím mechanizace</t>
  </si>
  <si>
    <t>29</t>
  </si>
  <si>
    <t>997013831</t>
  </si>
  <si>
    <t>Poplatek za uložení stavebního směsného odpadu na skládce (skládkovné)</t>
  </si>
  <si>
    <t>30</t>
  </si>
  <si>
    <t>998153211</t>
  </si>
  <si>
    <t>Přesun hmot ruční pro samostatné zdi a valy zděné nebo betonové monolitické v do 20 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</si>
  <si>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</si>
  <si>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</si>
  <si>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</si>
  <si>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</si>
  <si>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</si>
  <si>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</si>
  <si>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</si>
  <si>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</si>
  <si>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</si>
  <si>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Oprava opěrné zdi , na p. p. č.1814, Jízdárenská ul., K. Vary</t>
  </si>
  <si>
    <t>2013-ksi-05 - Oprava opěrné zdi, na p. p. č. 1814, Jízdárenská ul., K. Vary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</si>
</sst>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9" fillId="34" borderId="0" xfId="0" applyNumberFormat="1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72" fillId="33" borderId="0" xfId="36" applyFont="1" applyFill="1" applyAlignment="1" applyProtection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>
      <alignment horizontal="right" vertical="center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9" fillId="34" borderId="0" xfId="0" applyFont="1" applyFill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C6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01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2C6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48</xdr:row>
      <xdr:rowOff>123825</xdr:rowOff>
    </xdr:from>
    <xdr:to>
      <xdr:col>40</xdr:col>
      <xdr:colOff>190500</xdr:colOff>
      <xdr:row>57</xdr:row>
      <xdr:rowOff>142875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1201476">
          <a:off x="5114925" y="8820150"/>
          <a:ext cx="2219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701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zoomScalePageLayoutView="0" workbookViewId="0" topLeftCell="A1">
      <pane ySplit="1" topLeftCell="A55" activePane="bottomLeft" state="frozen"/>
      <selection pane="topLeft" activeCell="A1" sqref="A1"/>
      <selection pane="bottomLeft" activeCell="BE74" sqref="BE7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9" t="s">
        <v>0</v>
      </c>
      <c r="B1" s="140"/>
      <c r="C1" s="140"/>
      <c r="D1" s="141" t="s">
        <v>1</v>
      </c>
      <c r="E1" s="140"/>
      <c r="F1" s="140"/>
      <c r="G1" s="140"/>
      <c r="H1" s="140"/>
      <c r="I1" s="140"/>
      <c r="J1" s="140"/>
      <c r="K1" s="142" t="s">
        <v>300</v>
      </c>
      <c r="L1" s="142"/>
      <c r="M1" s="142"/>
      <c r="N1" s="142"/>
      <c r="O1" s="142"/>
      <c r="P1" s="142"/>
      <c r="Q1" s="142"/>
      <c r="R1" s="142"/>
      <c r="S1" s="142"/>
      <c r="T1" s="140"/>
      <c r="U1" s="140"/>
      <c r="V1" s="140"/>
      <c r="W1" s="142" t="s">
        <v>301</v>
      </c>
      <c r="X1" s="142"/>
      <c r="Y1" s="142"/>
      <c r="Z1" s="142"/>
      <c r="AA1" s="142"/>
      <c r="AB1" s="142"/>
      <c r="AC1" s="142"/>
      <c r="AD1" s="142"/>
      <c r="AE1" s="142"/>
      <c r="AF1" s="142"/>
      <c r="AG1" s="140"/>
      <c r="AH1" s="14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4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R2" s="147" t="s">
        <v>5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5" t="s">
        <v>9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75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66" t="s">
        <v>15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Q6" s="11"/>
      <c r="BE6" s="148"/>
      <c r="BS6" s="6" t="s">
        <v>16</v>
      </c>
    </row>
    <row r="7" spans="2:71" s="2" customFormat="1" ht="7.5" customHeight="1">
      <c r="B7" s="10"/>
      <c r="AQ7" s="11"/>
      <c r="BE7" s="148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44">
        <v>41246</v>
      </c>
      <c r="AQ8" s="11"/>
      <c r="BE8" s="148"/>
      <c r="BS8" s="6" t="s">
        <v>21</v>
      </c>
    </row>
    <row r="9" spans="2:71" s="2" customFormat="1" ht="15" customHeight="1">
      <c r="B9" s="10"/>
      <c r="AQ9" s="11"/>
      <c r="BE9" s="148"/>
      <c r="BS9" s="6" t="s">
        <v>22</v>
      </c>
    </row>
    <row r="10" spans="2:71" s="2" customFormat="1" ht="15" customHeight="1">
      <c r="B10" s="10"/>
      <c r="D10" s="15" t="s">
        <v>23</v>
      </c>
      <c r="AK10" s="15" t="s">
        <v>24</v>
      </c>
      <c r="AN10" s="16"/>
      <c r="AQ10" s="11"/>
      <c r="BE10" s="148"/>
      <c r="BS10" s="6" t="s">
        <v>16</v>
      </c>
    </row>
    <row r="11" spans="2:71" s="2" customFormat="1" ht="19.5" customHeight="1">
      <c r="B11" s="10"/>
      <c r="E11" s="16" t="s">
        <v>25</v>
      </c>
      <c r="AK11" s="15" t="s">
        <v>26</v>
      </c>
      <c r="AN11" s="16"/>
      <c r="AQ11" s="11"/>
      <c r="BE11" s="148"/>
      <c r="BS11" s="6" t="s">
        <v>16</v>
      </c>
    </row>
    <row r="12" spans="2:71" s="2" customFormat="1" ht="7.5" customHeight="1">
      <c r="B12" s="10"/>
      <c r="AQ12" s="11"/>
      <c r="BE12" s="148"/>
      <c r="BS12" s="6" t="s">
        <v>16</v>
      </c>
    </row>
    <row r="13" spans="2:71" s="2" customFormat="1" ht="15" customHeight="1">
      <c r="B13" s="10"/>
      <c r="D13" s="15" t="s">
        <v>27</v>
      </c>
      <c r="AK13" s="15" t="s">
        <v>24</v>
      </c>
      <c r="AN13" s="17" t="s">
        <v>28</v>
      </c>
      <c r="AQ13" s="11"/>
      <c r="BE13" s="148"/>
      <c r="BS13" s="6" t="s">
        <v>16</v>
      </c>
    </row>
    <row r="14" spans="2:71" s="2" customFormat="1" ht="15.75" customHeight="1">
      <c r="B14" s="10"/>
      <c r="E14" s="176" t="s">
        <v>28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5" t="s">
        <v>26</v>
      </c>
      <c r="AN14" s="17" t="s">
        <v>28</v>
      </c>
      <c r="AQ14" s="11"/>
      <c r="BE14" s="148"/>
      <c r="BS14" s="6" t="s">
        <v>16</v>
      </c>
    </row>
    <row r="15" spans="2:71" s="2" customFormat="1" ht="7.5" customHeight="1">
      <c r="B15" s="10"/>
      <c r="AQ15" s="11"/>
      <c r="BE15" s="148"/>
      <c r="BS15" s="6" t="s">
        <v>3</v>
      </c>
    </row>
    <row r="16" spans="2:71" s="2" customFormat="1" ht="15" customHeight="1">
      <c r="B16" s="10"/>
      <c r="D16" s="15" t="s">
        <v>29</v>
      </c>
      <c r="AK16" s="15" t="s">
        <v>24</v>
      </c>
      <c r="AN16" s="16" t="s">
        <v>30</v>
      </c>
      <c r="AQ16" s="11"/>
      <c r="BE16" s="148"/>
      <c r="BS16" s="6" t="s">
        <v>3</v>
      </c>
    </row>
    <row r="17" spans="2:71" s="2" customFormat="1" ht="19.5" customHeight="1">
      <c r="B17" s="10"/>
      <c r="E17" s="16" t="s">
        <v>31</v>
      </c>
      <c r="AK17" s="15" t="s">
        <v>26</v>
      </c>
      <c r="AN17" s="16" t="s">
        <v>32</v>
      </c>
      <c r="AQ17" s="11"/>
      <c r="BE17" s="148"/>
      <c r="BS17" s="6" t="s">
        <v>33</v>
      </c>
    </row>
    <row r="18" spans="2:71" s="2" customFormat="1" ht="7.5" customHeight="1">
      <c r="B18" s="10"/>
      <c r="AQ18" s="11"/>
      <c r="BE18" s="148"/>
      <c r="BS18" s="6" t="s">
        <v>6</v>
      </c>
    </row>
    <row r="19" spans="2:71" s="2" customFormat="1" ht="15" customHeight="1">
      <c r="B19" s="10"/>
      <c r="D19" s="15" t="s">
        <v>34</v>
      </c>
      <c r="AK19" s="15" t="s">
        <v>24</v>
      </c>
      <c r="AN19" s="16"/>
      <c r="AQ19" s="11"/>
      <c r="BE19" s="148"/>
      <c r="BS19" s="6" t="s">
        <v>16</v>
      </c>
    </row>
    <row r="20" spans="2:57" s="2" customFormat="1" ht="19.5" customHeight="1">
      <c r="B20" s="10"/>
      <c r="E20" s="16" t="s">
        <v>35</v>
      </c>
      <c r="AK20" s="15" t="s">
        <v>26</v>
      </c>
      <c r="AN20" s="16"/>
      <c r="AQ20" s="11"/>
      <c r="BE20" s="148"/>
    </row>
    <row r="21" spans="2:57" s="2" customFormat="1" ht="7.5" customHeight="1">
      <c r="B21" s="10"/>
      <c r="AQ21" s="11"/>
      <c r="BE21" s="148"/>
    </row>
    <row r="22" spans="2:57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1"/>
      <c r="BE22" s="148"/>
    </row>
    <row r="23" spans="2:57" s="2" customFormat="1" ht="15" customHeight="1">
      <c r="B23" s="10"/>
      <c r="D23" s="19" t="s">
        <v>36</v>
      </c>
      <c r="AK23" s="177">
        <f>ROUNDUP($AG$87,2)</f>
        <v>0</v>
      </c>
      <c r="AL23" s="148"/>
      <c r="AM23" s="148"/>
      <c r="AN23" s="148"/>
      <c r="AO23" s="148"/>
      <c r="AQ23" s="11"/>
      <c r="BE23" s="148"/>
    </row>
    <row r="24" spans="2:57" s="2" customFormat="1" ht="15" customHeight="1">
      <c r="B24" s="10"/>
      <c r="D24" s="19" t="s">
        <v>37</v>
      </c>
      <c r="AK24" s="177">
        <f>ROUNDUP($AG$90,2)</f>
        <v>0</v>
      </c>
      <c r="AL24" s="148"/>
      <c r="AM24" s="148"/>
      <c r="AN24" s="148"/>
      <c r="AO24" s="148"/>
      <c r="AQ24" s="11"/>
      <c r="BE24" s="148"/>
    </row>
    <row r="25" spans="2:57" s="6" customFormat="1" ht="7.5" customHeight="1">
      <c r="B25" s="20"/>
      <c r="AQ25" s="21"/>
      <c r="BE25" s="150"/>
    </row>
    <row r="26" spans="2:57" s="6" customFormat="1" ht="27" customHeight="1">
      <c r="B26" s="20"/>
      <c r="D26" s="22" t="s">
        <v>38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78">
        <f>ROUNDUP($AK$23+$AK$24,2)</f>
        <v>0</v>
      </c>
      <c r="AL26" s="179"/>
      <c r="AM26" s="179"/>
      <c r="AN26" s="179"/>
      <c r="AO26" s="179"/>
      <c r="AQ26" s="21"/>
      <c r="BE26" s="150"/>
    </row>
    <row r="27" spans="2:57" s="6" customFormat="1" ht="7.5" customHeight="1">
      <c r="B27" s="20"/>
      <c r="AQ27" s="21"/>
      <c r="BE27" s="150"/>
    </row>
    <row r="28" spans="2:57" s="6" customFormat="1" ht="15" customHeight="1">
      <c r="B28" s="24"/>
      <c r="D28" s="25" t="s">
        <v>39</v>
      </c>
      <c r="F28" s="25" t="s">
        <v>40</v>
      </c>
      <c r="L28" s="171">
        <v>0.21</v>
      </c>
      <c r="M28" s="172"/>
      <c r="N28" s="172"/>
      <c r="O28" s="172"/>
      <c r="T28" s="27" t="s">
        <v>41</v>
      </c>
      <c r="W28" s="173">
        <f>ROUNDUP($AZ$87+SUM($CD$91:$CD$104),2)</f>
        <v>0</v>
      </c>
      <c r="X28" s="172"/>
      <c r="Y28" s="172"/>
      <c r="Z28" s="172"/>
      <c r="AA28" s="172"/>
      <c r="AB28" s="172"/>
      <c r="AC28" s="172"/>
      <c r="AD28" s="172"/>
      <c r="AE28" s="172"/>
      <c r="AK28" s="173">
        <f>ROUNDUP($AV$87+SUM($BY$91:$BY$104),1)</f>
        <v>0</v>
      </c>
      <c r="AL28" s="172"/>
      <c r="AM28" s="172"/>
      <c r="AN28" s="172"/>
      <c r="AO28" s="172"/>
      <c r="AQ28" s="28"/>
      <c r="BE28" s="172"/>
    </row>
    <row r="29" spans="2:57" s="6" customFormat="1" ht="15" customHeight="1">
      <c r="B29" s="24"/>
      <c r="F29" s="25" t="s">
        <v>42</v>
      </c>
      <c r="L29" s="171">
        <v>0.15</v>
      </c>
      <c r="M29" s="172"/>
      <c r="N29" s="172"/>
      <c r="O29" s="172"/>
      <c r="T29" s="27" t="s">
        <v>41</v>
      </c>
      <c r="W29" s="173">
        <f>ROUNDUP($BA$87+SUM($CE$91:$CE$104),2)</f>
        <v>0</v>
      </c>
      <c r="X29" s="172"/>
      <c r="Y29" s="172"/>
      <c r="Z29" s="172"/>
      <c r="AA29" s="172"/>
      <c r="AB29" s="172"/>
      <c r="AC29" s="172"/>
      <c r="AD29" s="172"/>
      <c r="AE29" s="172"/>
      <c r="AK29" s="173">
        <f>ROUNDUP($AW$87+SUM($BZ$91:$BZ$104),1)</f>
        <v>0</v>
      </c>
      <c r="AL29" s="172"/>
      <c r="AM29" s="172"/>
      <c r="AN29" s="172"/>
      <c r="AO29" s="172"/>
      <c r="AQ29" s="28"/>
      <c r="BE29" s="172"/>
    </row>
    <row r="30" spans="2:57" s="6" customFormat="1" ht="15" customHeight="1" hidden="1">
      <c r="B30" s="24"/>
      <c r="F30" s="25" t="s">
        <v>43</v>
      </c>
      <c r="L30" s="171">
        <v>0.21</v>
      </c>
      <c r="M30" s="172"/>
      <c r="N30" s="172"/>
      <c r="O30" s="172"/>
      <c r="T30" s="27" t="s">
        <v>41</v>
      </c>
      <c r="W30" s="173">
        <f>ROUNDUP($BB$87+SUM($CF$91:$CF$104),2)</f>
        <v>0</v>
      </c>
      <c r="X30" s="172"/>
      <c r="Y30" s="172"/>
      <c r="Z30" s="172"/>
      <c r="AA30" s="172"/>
      <c r="AB30" s="172"/>
      <c r="AC30" s="172"/>
      <c r="AD30" s="172"/>
      <c r="AE30" s="172"/>
      <c r="AK30" s="173">
        <v>0</v>
      </c>
      <c r="AL30" s="172"/>
      <c r="AM30" s="172"/>
      <c r="AN30" s="172"/>
      <c r="AO30" s="172"/>
      <c r="AQ30" s="28"/>
      <c r="BE30" s="172"/>
    </row>
    <row r="31" spans="2:57" s="6" customFormat="1" ht="15" customHeight="1" hidden="1">
      <c r="B31" s="24"/>
      <c r="F31" s="25" t="s">
        <v>44</v>
      </c>
      <c r="L31" s="171">
        <v>0.15</v>
      </c>
      <c r="M31" s="172"/>
      <c r="N31" s="172"/>
      <c r="O31" s="172"/>
      <c r="T31" s="27" t="s">
        <v>41</v>
      </c>
      <c r="W31" s="173">
        <f>ROUNDUP($BC$87+SUM($CG$91:$CG$104),2)</f>
        <v>0</v>
      </c>
      <c r="X31" s="172"/>
      <c r="Y31" s="172"/>
      <c r="Z31" s="172"/>
      <c r="AA31" s="172"/>
      <c r="AB31" s="172"/>
      <c r="AC31" s="172"/>
      <c r="AD31" s="172"/>
      <c r="AE31" s="172"/>
      <c r="AK31" s="173">
        <v>0</v>
      </c>
      <c r="AL31" s="172"/>
      <c r="AM31" s="172"/>
      <c r="AN31" s="172"/>
      <c r="AO31" s="172"/>
      <c r="AQ31" s="28"/>
      <c r="BE31" s="172"/>
    </row>
    <row r="32" spans="2:57" s="6" customFormat="1" ht="15" customHeight="1" hidden="1">
      <c r="B32" s="24"/>
      <c r="F32" s="25" t="s">
        <v>45</v>
      </c>
      <c r="L32" s="171">
        <v>0</v>
      </c>
      <c r="M32" s="172"/>
      <c r="N32" s="172"/>
      <c r="O32" s="172"/>
      <c r="T32" s="27" t="s">
        <v>41</v>
      </c>
      <c r="W32" s="173">
        <f>ROUNDUP($BD$87+SUM($CH$91:$CH$104),2)</f>
        <v>0</v>
      </c>
      <c r="X32" s="172"/>
      <c r="Y32" s="172"/>
      <c r="Z32" s="172"/>
      <c r="AA32" s="172"/>
      <c r="AB32" s="172"/>
      <c r="AC32" s="172"/>
      <c r="AD32" s="172"/>
      <c r="AE32" s="172"/>
      <c r="AK32" s="173">
        <v>0</v>
      </c>
      <c r="AL32" s="172"/>
      <c r="AM32" s="172"/>
      <c r="AN32" s="172"/>
      <c r="AO32" s="172"/>
      <c r="AQ32" s="28"/>
      <c r="BE32" s="172"/>
    </row>
    <row r="33" spans="2:57" s="6" customFormat="1" ht="7.5" customHeight="1">
      <c r="B33" s="20"/>
      <c r="AQ33" s="21"/>
      <c r="BE33" s="150"/>
    </row>
    <row r="34" spans="2:57" s="6" customFormat="1" ht="27" customHeight="1">
      <c r="B34" s="20"/>
      <c r="C34" s="29"/>
      <c r="D34" s="30" t="s">
        <v>46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47</v>
      </c>
      <c r="U34" s="31"/>
      <c r="V34" s="31"/>
      <c r="W34" s="31"/>
      <c r="X34" s="163" t="s">
        <v>48</v>
      </c>
      <c r="Y34" s="156"/>
      <c r="Z34" s="156"/>
      <c r="AA34" s="156"/>
      <c r="AB34" s="156"/>
      <c r="AC34" s="31"/>
      <c r="AD34" s="31"/>
      <c r="AE34" s="31"/>
      <c r="AF34" s="31"/>
      <c r="AG34" s="31"/>
      <c r="AH34" s="31"/>
      <c r="AI34" s="31"/>
      <c r="AJ34" s="31"/>
      <c r="AK34" s="164">
        <f>ROUNDUP(SUM($AK$26:$AK$32),2)</f>
        <v>0</v>
      </c>
      <c r="AL34" s="156"/>
      <c r="AM34" s="156"/>
      <c r="AN34" s="156"/>
      <c r="AO34" s="158"/>
      <c r="AP34" s="29"/>
      <c r="AQ34" s="21"/>
      <c r="BE34" s="150"/>
    </row>
    <row r="35" spans="2:43" s="6" customFormat="1" ht="15" customHeight="1">
      <c r="B35" s="20"/>
      <c r="AQ35" s="21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0"/>
      <c r="D49" s="33" t="s">
        <v>49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3" t="s">
        <v>50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Q49" s="21"/>
    </row>
    <row r="50" spans="2:43" s="2" customFormat="1" ht="14.25" customHeight="1">
      <c r="B50" s="10"/>
      <c r="D50" s="36"/>
      <c r="Z50" s="37"/>
      <c r="AC50" s="36"/>
      <c r="AO50" s="37"/>
      <c r="AQ50" s="11"/>
    </row>
    <row r="51" spans="2:43" s="2" customFormat="1" ht="14.25" customHeight="1">
      <c r="B51" s="10"/>
      <c r="D51" s="36"/>
      <c r="Z51" s="37"/>
      <c r="AC51" s="36"/>
      <c r="AO51" s="37"/>
      <c r="AQ51" s="11"/>
    </row>
    <row r="52" spans="2:43" s="2" customFormat="1" ht="14.25" customHeight="1">
      <c r="B52" s="10"/>
      <c r="D52" s="36"/>
      <c r="Z52" s="37"/>
      <c r="AC52" s="36"/>
      <c r="AO52" s="37"/>
      <c r="AQ52" s="11"/>
    </row>
    <row r="53" spans="2:43" s="2" customFormat="1" ht="14.25" customHeight="1">
      <c r="B53" s="10"/>
      <c r="D53" s="36"/>
      <c r="Z53" s="37"/>
      <c r="AC53" s="36"/>
      <c r="AO53" s="37"/>
      <c r="AQ53" s="11"/>
    </row>
    <row r="54" spans="2:43" s="2" customFormat="1" ht="14.25" customHeight="1">
      <c r="B54" s="10"/>
      <c r="D54" s="36"/>
      <c r="Z54" s="37"/>
      <c r="AC54" s="36"/>
      <c r="AO54" s="37"/>
      <c r="AQ54" s="11"/>
    </row>
    <row r="55" spans="2:43" s="2" customFormat="1" ht="14.25" customHeight="1">
      <c r="B55" s="10"/>
      <c r="D55" s="36"/>
      <c r="Z55" s="37"/>
      <c r="AC55" s="36"/>
      <c r="AO55" s="37"/>
      <c r="AQ55" s="11"/>
    </row>
    <row r="56" spans="2:43" s="2" customFormat="1" ht="14.25" customHeight="1">
      <c r="B56" s="10"/>
      <c r="D56" s="36"/>
      <c r="Z56" s="37"/>
      <c r="AC56" s="36"/>
      <c r="AO56" s="37"/>
      <c r="AQ56" s="11"/>
    </row>
    <row r="57" spans="2:43" s="2" customFormat="1" ht="14.25" customHeight="1">
      <c r="B57" s="10"/>
      <c r="D57" s="36"/>
      <c r="Z57" s="37"/>
      <c r="AC57" s="36"/>
      <c r="AO57" s="37"/>
      <c r="AQ57" s="11"/>
    </row>
    <row r="58" spans="2:43" s="6" customFormat="1" ht="15.75" customHeight="1">
      <c r="B58" s="20"/>
      <c r="D58" s="38" t="s">
        <v>51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52</v>
      </c>
      <c r="S58" s="39"/>
      <c r="T58" s="39"/>
      <c r="U58" s="39"/>
      <c r="V58" s="39"/>
      <c r="W58" s="39"/>
      <c r="X58" s="39"/>
      <c r="Y58" s="39"/>
      <c r="Z58" s="41"/>
      <c r="AC58" s="38" t="s">
        <v>51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52</v>
      </c>
      <c r="AN58" s="39"/>
      <c r="AO58" s="41"/>
      <c r="AQ58" s="21"/>
    </row>
    <row r="59" spans="2:43" s="2" customFormat="1" ht="14.25" customHeight="1">
      <c r="B59" s="10"/>
      <c r="AQ59" s="11"/>
    </row>
    <row r="60" spans="2:43" s="6" customFormat="1" ht="15.75" customHeight="1">
      <c r="B60" s="20"/>
      <c r="D60" s="33" t="s">
        <v>53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C60" s="33" t="s">
        <v>54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Q60" s="21"/>
    </row>
    <row r="61" spans="2:43" s="2" customFormat="1" ht="14.25" customHeight="1">
      <c r="B61" s="10"/>
      <c r="D61" s="36"/>
      <c r="Z61" s="37"/>
      <c r="AC61" s="36"/>
      <c r="AO61" s="37"/>
      <c r="AQ61" s="11"/>
    </row>
    <row r="62" spans="2:43" s="2" customFormat="1" ht="14.25" customHeight="1">
      <c r="B62" s="10"/>
      <c r="D62" s="36"/>
      <c r="Z62" s="37"/>
      <c r="AC62" s="36"/>
      <c r="AO62" s="37"/>
      <c r="AQ62" s="11"/>
    </row>
    <row r="63" spans="2:43" s="2" customFormat="1" ht="14.25" customHeight="1">
      <c r="B63" s="10"/>
      <c r="D63" s="36"/>
      <c r="Z63" s="37"/>
      <c r="AC63" s="36"/>
      <c r="AO63" s="37"/>
      <c r="AQ63" s="11"/>
    </row>
    <row r="64" spans="2:43" s="2" customFormat="1" ht="14.25" customHeight="1">
      <c r="B64" s="10"/>
      <c r="D64" s="36"/>
      <c r="Z64" s="37"/>
      <c r="AC64" s="36"/>
      <c r="AO64" s="37"/>
      <c r="AQ64" s="11"/>
    </row>
    <row r="65" spans="2:43" s="2" customFormat="1" ht="14.25" customHeight="1">
      <c r="B65" s="10"/>
      <c r="D65" s="36"/>
      <c r="Z65" s="37"/>
      <c r="AC65" s="36"/>
      <c r="AO65" s="37"/>
      <c r="AQ65" s="11"/>
    </row>
    <row r="66" spans="2:43" s="2" customFormat="1" ht="14.25" customHeight="1">
      <c r="B66" s="10"/>
      <c r="D66" s="36"/>
      <c r="Z66" s="37"/>
      <c r="AC66" s="36"/>
      <c r="AO66" s="37"/>
      <c r="AQ66" s="11"/>
    </row>
    <row r="67" spans="2:43" s="2" customFormat="1" ht="14.25" customHeight="1">
      <c r="B67" s="10"/>
      <c r="D67" s="36"/>
      <c r="Z67" s="37"/>
      <c r="AC67" s="36"/>
      <c r="AO67" s="37"/>
      <c r="AQ67" s="11"/>
    </row>
    <row r="68" spans="2:43" s="2" customFormat="1" ht="14.25" customHeight="1">
      <c r="B68" s="10"/>
      <c r="D68" s="36"/>
      <c r="Z68" s="37"/>
      <c r="AC68" s="36"/>
      <c r="AO68" s="37"/>
      <c r="AQ68" s="11"/>
    </row>
    <row r="69" spans="2:43" s="6" customFormat="1" ht="15.75" customHeight="1">
      <c r="B69" s="20"/>
      <c r="D69" s="38" t="s">
        <v>51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52</v>
      </c>
      <c r="S69" s="39"/>
      <c r="T69" s="39"/>
      <c r="U69" s="39"/>
      <c r="V69" s="39"/>
      <c r="W69" s="39"/>
      <c r="X69" s="39"/>
      <c r="Y69" s="39"/>
      <c r="Z69" s="41"/>
      <c r="AC69" s="38" t="s">
        <v>51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52</v>
      </c>
      <c r="AN69" s="39"/>
      <c r="AO69" s="41"/>
      <c r="AQ69" s="21"/>
    </row>
    <row r="70" spans="2:43" s="6" customFormat="1" ht="7.5" customHeight="1">
      <c r="B70" s="20"/>
      <c r="AQ70" s="21"/>
    </row>
    <row r="71" spans="2:43" s="6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6" customFormat="1" ht="37.5" customHeight="1">
      <c r="B76" s="20"/>
      <c r="C76" s="165" t="s">
        <v>55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21"/>
    </row>
    <row r="77" spans="2:43" s="6" customFormat="1" ht="7.5" customHeight="1">
      <c r="B77" s="20"/>
      <c r="AQ77" s="21"/>
    </row>
    <row r="78" spans="2:43" s="14" customFormat="1" ht="27" customHeight="1">
      <c r="B78" s="48"/>
      <c r="C78" s="14" t="s">
        <v>14</v>
      </c>
      <c r="L78" s="166" t="str">
        <f>$K$6</f>
        <v>2013-01 - Oprava a sanace opěrné zdi v Karlových Varech</v>
      </c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Q78" s="49"/>
    </row>
    <row r="79" spans="2:43" s="6" customFormat="1" ht="7.5" customHeight="1">
      <c r="B79" s="20"/>
      <c r="AQ79" s="21"/>
    </row>
    <row r="80" spans="2:43" s="6" customFormat="1" ht="15.75" customHeight="1">
      <c r="B80" s="20"/>
      <c r="C80" s="15" t="s">
        <v>18</v>
      </c>
      <c r="L80" s="50" t="str">
        <f>IF($K$8="","",$K$8)</f>
        <v>Karlovy Vary</v>
      </c>
      <c r="AI80" s="15" t="s">
        <v>20</v>
      </c>
      <c r="AM80" s="144"/>
      <c r="AN80" s="144">
        <v>41246</v>
      </c>
      <c r="AQ80" s="21"/>
    </row>
    <row r="81" spans="2:43" s="6" customFormat="1" ht="7.5" customHeight="1">
      <c r="B81" s="20"/>
      <c r="AQ81" s="21"/>
    </row>
    <row r="82" spans="2:56" s="6" customFormat="1" ht="18.75" customHeight="1">
      <c r="B82" s="20"/>
      <c r="C82" s="15" t="s">
        <v>23</v>
      </c>
      <c r="L82" s="16" t="str">
        <f>IF($E$11="","",$E$11)</f>
        <v>Statutární město Karlovy Vary</v>
      </c>
      <c r="AI82" s="15" t="s">
        <v>29</v>
      </c>
      <c r="AM82" s="167" t="str">
        <f>IF($E$17="","",$E$17)</f>
        <v>Kancelář stavebního inženýrství s.r.o.</v>
      </c>
      <c r="AN82" s="150"/>
      <c r="AO82" s="150"/>
      <c r="AP82" s="150"/>
      <c r="AQ82" s="21"/>
      <c r="AS82" s="168" t="s">
        <v>56</v>
      </c>
      <c r="AT82" s="169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6" customFormat="1" ht="15.75" customHeight="1">
      <c r="B83" s="20"/>
      <c r="C83" s="15" t="s">
        <v>27</v>
      </c>
      <c r="L83" s="16">
        <f>IF($E$14="Vyplň údaj","",$E$14)</f>
      </c>
      <c r="AI83" s="15" t="s">
        <v>34</v>
      </c>
      <c r="AM83" s="167" t="str">
        <f>IF($E$20="","",$E$20)</f>
        <v>D. Kryštovová</v>
      </c>
      <c r="AN83" s="150"/>
      <c r="AO83" s="150"/>
      <c r="AP83" s="150"/>
      <c r="AQ83" s="21"/>
      <c r="AS83" s="170"/>
      <c r="AT83" s="150"/>
      <c r="BD83" s="52"/>
    </row>
    <row r="84" spans="2:56" s="6" customFormat="1" ht="12" customHeight="1">
      <c r="B84" s="20"/>
      <c r="AQ84" s="21"/>
      <c r="AS84" s="170"/>
      <c r="AT84" s="150"/>
      <c r="BD84" s="52"/>
    </row>
    <row r="85" spans="2:57" s="6" customFormat="1" ht="30" customHeight="1">
      <c r="B85" s="20"/>
      <c r="C85" s="155" t="s">
        <v>57</v>
      </c>
      <c r="D85" s="156"/>
      <c r="E85" s="156"/>
      <c r="F85" s="156"/>
      <c r="G85" s="156"/>
      <c r="H85" s="31"/>
      <c r="I85" s="157" t="s">
        <v>58</v>
      </c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7" t="s">
        <v>59</v>
      </c>
      <c r="AH85" s="156"/>
      <c r="AI85" s="156"/>
      <c r="AJ85" s="156"/>
      <c r="AK85" s="156"/>
      <c r="AL85" s="156"/>
      <c r="AM85" s="156"/>
      <c r="AN85" s="157" t="s">
        <v>60</v>
      </c>
      <c r="AO85" s="156"/>
      <c r="AP85" s="158"/>
      <c r="AQ85" s="21"/>
      <c r="AS85" s="53" t="s">
        <v>61</v>
      </c>
      <c r="AT85" s="54" t="s">
        <v>62</v>
      </c>
      <c r="AU85" s="54" t="s">
        <v>63</v>
      </c>
      <c r="AV85" s="54" t="s">
        <v>64</v>
      </c>
      <c r="AW85" s="54" t="s">
        <v>65</v>
      </c>
      <c r="AX85" s="54" t="s">
        <v>66</v>
      </c>
      <c r="AY85" s="54" t="s">
        <v>67</v>
      </c>
      <c r="AZ85" s="54" t="s">
        <v>68</v>
      </c>
      <c r="BA85" s="54" t="s">
        <v>69</v>
      </c>
      <c r="BB85" s="54" t="s">
        <v>70</v>
      </c>
      <c r="BC85" s="54" t="s">
        <v>71</v>
      </c>
      <c r="BD85" s="55" t="s">
        <v>72</v>
      </c>
      <c r="BE85" s="56"/>
    </row>
    <row r="86" spans="2:56" s="6" customFormat="1" ht="12" customHeight="1">
      <c r="B86" s="20"/>
      <c r="AQ86" s="21"/>
      <c r="AS86" s="57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14" customFormat="1" ht="33" customHeight="1">
      <c r="B87" s="48"/>
      <c r="C87" s="58" t="s">
        <v>73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153">
        <f>ROUNDUP($AG$88,2)</f>
        <v>0</v>
      </c>
      <c r="AH87" s="154"/>
      <c r="AI87" s="154"/>
      <c r="AJ87" s="154"/>
      <c r="AK87" s="154"/>
      <c r="AL87" s="154"/>
      <c r="AM87" s="154"/>
      <c r="AN87" s="153">
        <f>ROUNDUP(SUM($AG$87,$AT$87),2)</f>
        <v>0</v>
      </c>
      <c r="AO87" s="154"/>
      <c r="AP87" s="154"/>
      <c r="AQ87" s="49"/>
      <c r="AS87" s="59">
        <f>ROUNDUP($AS$88,2)</f>
        <v>0</v>
      </c>
      <c r="AT87" s="60">
        <f>ROUNDUP(SUM($AV$87:$AW$87),1)</f>
        <v>0</v>
      </c>
      <c r="AU87" s="61">
        <f>ROUNDUP($AU$88,5)</f>
        <v>464.81890999999996</v>
      </c>
      <c r="AV87" s="60">
        <f>ROUNDUP($AZ$87*$L$28,2)</f>
        <v>0</v>
      </c>
      <c r="AW87" s="60">
        <f>ROUNDUP($BA$87*$L$29,2)</f>
        <v>0</v>
      </c>
      <c r="AX87" s="60">
        <f>ROUNDUP($BB$87*$L$28,2)</f>
        <v>0</v>
      </c>
      <c r="AY87" s="60">
        <f>ROUNDUP($BC$87*$L$29,2)</f>
        <v>0</v>
      </c>
      <c r="AZ87" s="60">
        <f>ROUNDUP($AZ$88,2)</f>
        <v>0</v>
      </c>
      <c r="BA87" s="60">
        <f>ROUNDUP($BA$88,2)</f>
        <v>0</v>
      </c>
      <c r="BB87" s="60">
        <f>ROUNDUP($BB$88,2)</f>
        <v>0</v>
      </c>
      <c r="BC87" s="60">
        <f>ROUNDUP($BC$88,2)</f>
        <v>0</v>
      </c>
      <c r="BD87" s="62">
        <f>ROUNDUP($BD$88,2)</f>
        <v>0</v>
      </c>
      <c r="BS87" s="14" t="s">
        <v>74</v>
      </c>
      <c r="BT87" s="14" t="s">
        <v>75</v>
      </c>
      <c r="BU87" s="63" t="s">
        <v>76</v>
      </c>
      <c r="BV87" s="14" t="s">
        <v>77</v>
      </c>
      <c r="BW87" s="14" t="s">
        <v>78</v>
      </c>
      <c r="BX87" s="14" t="s">
        <v>79</v>
      </c>
    </row>
    <row r="88" spans="1:76" s="64" customFormat="1" ht="28.5" customHeight="1">
      <c r="A88" s="138" t="s">
        <v>302</v>
      </c>
      <c r="B88" s="65"/>
      <c r="C88" s="66"/>
      <c r="D88" s="161" t="s">
        <v>80</v>
      </c>
      <c r="E88" s="162"/>
      <c r="F88" s="162"/>
      <c r="G88" s="162"/>
      <c r="H88" s="162"/>
      <c r="I88" s="66"/>
      <c r="J88" s="161" t="s">
        <v>307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59">
        <f>'2013-ksi-05 - Oprava opěr...'!$M$27</f>
        <v>0</v>
      </c>
      <c r="AH88" s="160"/>
      <c r="AI88" s="160"/>
      <c r="AJ88" s="160"/>
      <c r="AK88" s="160"/>
      <c r="AL88" s="160"/>
      <c r="AM88" s="160"/>
      <c r="AN88" s="159">
        <f>ROUNDUP(SUM($AG$88,$AT$88),2)</f>
        <v>0</v>
      </c>
      <c r="AO88" s="160"/>
      <c r="AP88" s="160"/>
      <c r="AQ88" s="67"/>
      <c r="AS88" s="68">
        <f>'2013-ksi-05 - Oprava opěr...'!$M$25</f>
        <v>0</v>
      </c>
      <c r="AT88" s="69">
        <f>ROUNDUP(SUM($AV$88:$AW$88),1)</f>
        <v>0</v>
      </c>
      <c r="AU88" s="70">
        <f>'2013-ksi-05 - Oprava opěr...'!$W$123</f>
        <v>464.818903</v>
      </c>
      <c r="AV88" s="69">
        <f>'2013-ksi-05 - Oprava opěr...'!$M$29</f>
        <v>0</v>
      </c>
      <c r="AW88" s="69">
        <f>'2013-ksi-05 - Oprava opěr...'!$M$30</f>
        <v>0</v>
      </c>
      <c r="AX88" s="69">
        <f>'2013-ksi-05 - Oprava opěr...'!$M$31</f>
        <v>0</v>
      </c>
      <c r="AY88" s="69">
        <f>'2013-ksi-05 - Oprava opěr...'!$M$32</f>
        <v>0</v>
      </c>
      <c r="AZ88" s="69">
        <f>'2013-ksi-05 - Oprava opěr...'!$H$29</f>
        <v>0</v>
      </c>
      <c r="BA88" s="69">
        <f>'2013-ksi-05 - Oprava opěr...'!$H$30</f>
        <v>0</v>
      </c>
      <c r="BB88" s="69">
        <f>'2013-ksi-05 - Oprava opěr...'!$H$31</f>
        <v>0</v>
      </c>
      <c r="BC88" s="69">
        <f>'2013-ksi-05 - Oprava opěr...'!$H$32</f>
        <v>0</v>
      </c>
      <c r="BD88" s="71">
        <f>'2013-ksi-05 - Oprava opěr...'!$H$33</f>
        <v>0</v>
      </c>
      <c r="BT88" s="64" t="s">
        <v>17</v>
      </c>
      <c r="BV88" s="64" t="s">
        <v>77</v>
      </c>
      <c r="BW88" s="64" t="s">
        <v>81</v>
      </c>
      <c r="BX88" s="64" t="s">
        <v>78</v>
      </c>
    </row>
    <row r="89" spans="2:43" s="2" customFormat="1" ht="14.25" customHeight="1">
      <c r="B89" s="10"/>
      <c r="AQ89" s="11"/>
    </row>
    <row r="90" spans="2:49" s="6" customFormat="1" ht="30.75" customHeight="1">
      <c r="B90" s="20"/>
      <c r="C90" s="58" t="s">
        <v>82</v>
      </c>
      <c r="AG90" s="153">
        <f>ROUNDUP(SUM($AG$91:$AG$103),2)</f>
        <v>0</v>
      </c>
      <c r="AH90" s="150"/>
      <c r="AI90" s="150"/>
      <c r="AJ90" s="150"/>
      <c r="AK90" s="150"/>
      <c r="AL90" s="150"/>
      <c r="AM90" s="150"/>
      <c r="AN90" s="153">
        <f>ROUNDUP(SUM($AN$91:$AN$103),2)</f>
        <v>0</v>
      </c>
      <c r="AO90" s="150"/>
      <c r="AP90" s="150"/>
      <c r="AQ90" s="21"/>
      <c r="AS90" s="53" t="s">
        <v>83</v>
      </c>
      <c r="AT90" s="54" t="s">
        <v>84</v>
      </c>
      <c r="AU90" s="54" t="s">
        <v>39</v>
      </c>
      <c r="AV90" s="55" t="s">
        <v>62</v>
      </c>
      <c r="AW90" s="56"/>
    </row>
    <row r="91" spans="2:89" s="6" customFormat="1" ht="21" customHeight="1">
      <c r="B91" s="20"/>
      <c r="D91" s="72" t="s">
        <v>85</v>
      </c>
      <c r="AG91" s="151">
        <f>ROUNDUP($AG$87*$AS$91,2)</f>
        <v>0</v>
      </c>
      <c r="AH91" s="150"/>
      <c r="AI91" s="150"/>
      <c r="AJ91" s="150"/>
      <c r="AK91" s="150"/>
      <c r="AL91" s="150"/>
      <c r="AM91" s="150"/>
      <c r="AN91" s="152">
        <f>ROUNDUP($AG$91+$AV$91,2)</f>
        <v>0</v>
      </c>
      <c r="AO91" s="150"/>
      <c r="AP91" s="150"/>
      <c r="AQ91" s="21"/>
      <c r="AS91" s="73">
        <v>0</v>
      </c>
      <c r="AT91" s="74" t="s">
        <v>86</v>
      </c>
      <c r="AU91" s="74" t="s">
        <v>40</v>
      </c>
      <c r="AV91" s="75">
        <f>ROUNDUP(IF($AU$91="základní",$AG$91*$L$28,IF($AU$91="snížená",$AG$91*$L$29,0)),2)</f>
        <v>0</v>
      </c>
      <c r="BV91" s="6" t="s">
        <v>87</v>
      </c>
      <c r="BY91" s="76">
        <f>IF($AU$91="základní",$AV$91,0)</f>
        <v>0</v>
      </c>
      <c r="BZ91" s="76">
        <f>IF($AU$91="snížená",$AV$91,0)</f>
        <v>0</v>
      </c>
      <c r="CA91" s="76">
        <v>0</v>
      </c>
      <c r="CB91" s="76">
        <v>0</v>
      </c>
      <c r="CC91" s="76">
        <v>0</v>
      </c>
      <c r="CD91" s="76">
        <f>IF($AU$91="základní",$AG$91,0)</f>
        <v>0</v>
      </c>
      <c r="CE91" s="76">
        <f>IF($AU$91="snížená",$AG$91,0)</f>
        <v>0</v>
      </c>
      <c r="CF91" s="76">
        <f>IF($AU$91="zákl. přenesená",$AG$91,0)</f>
        <v>0</v>
      </c>
      <c r="CG91" s="76">
        <f>IF($AU$91="sníž. přenesená",$AG$91,0)</f>
        <v>0</v>
      </c>
      <c r="CH91" s="76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0"/>
      <c r="D92" s="72" t="s">
        <v>88</v>
      </c>
      <c r="AG92" s="151">
        <f>ROUNDUP($AG$87*$AS$92,2)</f>
        <v>0</v>
      </c>
      <c r="AH92" s="150"/>
      <c r="AI92" s="150"/>
      <c r="AJ92" s="150"/>
      <c r="AK92" s="150"/>
      <c r="AL92" s="150"/>
      <c r="AM92" s="150"/>
      <c r="AN92" s="152">
        <f>ROUNDUP($AG$92+$AV$92,2)</f>
        <v>0</v>
      </c>
      <c r="AO92" s="150"/>
      <c r="AP92" s="150"/>
      <c r="AQ92" s="21"/>
      <c r="AS92" s="77">
        <v>0</v>
      </c>
      <c r="AT92" s="78" t="s">
        <v>86</v>
      </c>
      <c r="AU92" s="78" t="s">
        <v>40</v>
      </c>
      <c r="AV92" s="79">
        <f>ROUNDUP(IF($AU$92="základní",$AG$92*$L$28,IF($AU$92="snížená",$AG$92*$L$29,0)),2)</f>
        <v>0</v>
      </c>
      <c r="BV92" s="6" t="s">
        <v>87</v>
      </c>
      <c r="BY92" s="76">
        <f>IF($AU$92="základní",$AV$92,0)</f>
        <v>0</v>
      </c>
      <c r="BZ92" s="76">
        <f>IF($AU$92="snížená",$AV$92,0)</f>
        <v>0</v>
      </c>
      <c r="CA92" s="76">
        <v>0</v>
      </c>
      <c r="CB92" s="76">
        <v>0</v>
      </c>
      <c r="CC92" s="76">
        <v>0</v>
      </c>
      <c r="CD92" s="76">
        <f>IF($AU$92="základní",$AG$92,0)</f>
        <v>0</v>
      </c>
      <c r="CE92" s="76">
        <f>IF($AU$92="snížená",$AG$92,0)</f>
        <v>0</v>
      </c>
      <c r="CF92" s="76">
        <f>IF($AU$92="zákl. přenesená",$AG$92,0)</f>
        <v>0</v>
      </c>
      <c r="CG92" s="76">
        <f>IF($AU$92="sníž. přenesená",$AG$92,0)</f>
        <v>0</v>
      </c>
      <c r="CH92" s="7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0"/>
      <c r="D93" s="72" t="s">
        <v>89</v>
      </c>
      <c r="AG93" s="151">
        <f>ROUNDUP($AG$87*$AS$93,2)</f>
        <v>0</v>
      </c>
      <c r="AH93" s="150"/>
      <c r="AI93" s="150"/>
      <c r="AJ93" s="150"/>
      <c r="AK93" s="150"/>
      <c r="AL93" s="150"/>
      <c r="AM93" s="150"/>
      <c r="AN93" s="152">
        <f>ROUNDUP($AG$93+$AV$93,2)</f>
        <v>0</v>
      </c>
      <c r="AO93" s="150"/>
      <c r="AP93" s="150"/>
      <c r="AQ93" s="21"/>
      <c r="AS93" s="77">
        <v>0</v>
      </c>
      <c r="AT93" s="78" t="s">
        <v>86</v>
      </c>
      <c r="AU93" s="78" t="s">
        <v>40</v>
      </c>
      <c r="AV93" s="79">
        <f>ROUNDUP(IF($AU$93="základní",$AG$93*$L$28,IF($AU$93="snížená",$AG$93*$L$29,0)),2)</f>
        <v>0</v>
      </c>
      <c r="BV93" s="6" t="s">
        <v>87</v>
      </c>
      <c r="BY93" s="76">
        <f>IF($AU$93="základní",$AV$93,0)</f>
        <v>0</v>
      </c>
      <c r="BZ93" s="76">
        <f>IF($AU$93="snížená",$AV$93,0)</f>
        <v>0</v>
      </c>
      <c r="CA93" s="76">
        <v>0</v>
      </c>
      <c r="CB93" s="76">
        <v>0</v>
      </c>
      <c r="CC93" s="76">
        <v>0</v>
      </c>
      <c r="CD93" s="76">
        <f>IF($AU$93="základní",$AG$93,0)</f>
        <v>0</v>
      </c>
      <c r="CE93" s="76">
        <f>IF($AU$93="snížená",$AG$93,0)</f>
        <v>0</v>
      </c>
      <c r="CF93" s="76">
        <f>IF($AU$93="zákl. přenesená",$AG$93,0)</f>
        <v>0</v>
      </c>
      <c r="CG93" s="76">
        <f>IF($AU$93="sníž. přenesená",$AG$93,0)</f>
        <v>0</v>
      </c>
      <c r="CH93" s="7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0"/>
      <c r="D94" s="72" t="s">
        <v>90</v>
      </c>
      <c r="AG94" s="151">
        <f>ROUNDUP($AG$87*$AS$94,2)</f>
        <v>0</v>
      </c>
      <c r="AH94" s="150"/>
      <c r="AI94" s="150"/>
      <c r="AJ94" s="150"/>
      <c r="AK94" s="150"/>
      <c r="AL94" s="150"/>
      <c r="AM94" s="150"/>
      <c r="AN94" s="152">
        <f>ROUNDUP($AG$94+$AV$94,2)</f>
        <v>0</v>
      </c>
      <c r="AO94" s="150"/>
      <c r="AP94" s="150"/>
      <c r="AQ94" s="21"/>
      <c r="AS94" s="77">
        <v>0</v>
      </c>
      <c r="AT94" s="78" t="s">
        <v>86</v>
      </c>
      <c r="AU94" s="78" t="s">
        <v>40</v>
      </c>
      <c r="AV94" s="79">
        <f>ROUNDUP(IF($AU$94="základní",$AG$94*$L$28,IF($AU$94="snížená",$AG$94*$L$29,0)),2)</f>
        <v>0</v>
      </c>
      <c r="BV94" s="6" t="s">
        <v>87</v>
      </c>
      <c r="BY94" s="76">
        <f>IF($AU$94="základní",$AV$94,0)</f>
        <v>0</v>
      </c>
      <c r="BZ94" s="76">
        <f>IF($AU$94="snížená",$AV$94,0)</f>
        <v>0</v>
      </c>
      <c r="CA94" s="76">
        <v>0</v>
      </c>
      <c r="CB94" s="76">
        <v>0</v>
      </c>
      <c r="CC94" s="76">
        <v>0</v>
      </c>
      <c r="CD94" s="76">
        <f>IF($AU$94="základní",$AG$94,0)</f>
        <v>0</v>
      </c>
      <c r="CE94" s="76">
        <f>IF($AU$94="snížená",$AG$94,0)</f>
        <v>0</v>
      </c>
      <c r="CF94" s="76">
        <f>IF($AU$94="zákl. přenesená",$AG$94,0)</f>
        <v>0</v>
      </c>
      <c r="CG94" s="76">
        <f>IF($AU$94="sníž. přenesená",$AG$94,0)</f>
        <v>0</v>
      </c>
      <c r="CH94" s="7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0"/>
      <c r="D95" s="72" t="s">
        <v>91</v>
      </c>
      <c r="AG95" s="151">
        <f>ROUNDUP($AG$87*$AS$95,2)</f>
        <v>0</v>
      </c>
      <c r="AH95" s="150"/>
      <c r="AI95" s="150"/>
      <c r="AJ95" s="150"/>
      <c r="AK95" s="150"/>
      <c r="AL95" s="150"/>
      <c r="AM95" s="150"/>
      <c r="AN95" s="152">
        <f>ROUNDUP($AG$95+$AV$95,2)</f>
        <v>0</v>
      </c>
      <c r="AO95" s="150"/>
      <c r="AP95" s="150"/>
      <c r="AQ95" s="21"/>
      <c r="AS95" s="77">
        <v>0</v>
      </c>
      <c r="AT95" s="78" t="s">
        <v>86</v>
      </c>
      <c r="AU95" s="78" t="s">
        <v>40</v>
      </c>
      <c r="AV95" s="79">
        <f>ROUNDUP(IF($AU$95="základní",$AG$95*$L$28,IF($AU$95="snížená",$AG$95*$L$29,0)),2)</f>
        <v>0</v>
      </c>
      <c r="BV95" s="6" t="s">
        <v>87</v>
      </c>
      <c r="BY95" s="76">
        <f>IF($AU$95="základní",$AV$95,0)</f>
        <v>0</v>
      </c>
      <c r="BZ95" s="76">
        <f>IF($AU$95="snížená",$AV$95,0)</f>
        <v>0</v>
      </c>
      <c r="CA95" s="76">
        <v>0</v>
      </c>
      <c r="CB95" s="76">
        <v>0</v>
      </c>
      <c r="CC95" s="76">
        <v>0</v>
      </c>
      <c r="CD95" s="76">
        <f>IF($AU$95="základní",$AG$95,0)</f>
        <v>0</v>
      </c>
      <c r="CE95" s="76">
        <f>IF($AU$95="snížená",$AG$95,0)</f>
        <v>0</v>
      </c>
      <c r="CF95" s="76">
        <f>IF($AU$95="zákl. přenesená",$AG$95,0)</f>
        <v>0</v>
      </c>
      <c r="CG95" s="76">
        <f>IF($AU$95="sníž. přenesená",$AG$95,0)</f>
        <v>0</v>
      </c>
      <c r="CH95" s="76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0"/>
      <c r="D96" s="72" t="s">
        <v>92</v>
      </c>
      <c r="AG96" s="151">
        <f>ROUNDUP($AG$87*$AS$96,2)</f>
        <v>0</v>
      </c>
      <c r="AH96" s="150"/>
      <c r="AI96" s="150"/>
      <c r="AJ96" s="150"/>
      <c r="AK96" s="150"/>
      <c r="AL96" s="150"/>
      <c r="AM96" s="150"/>
      <c r="AN96" s="152">
        <f>ROUNDUP($AG$96+$AV$96,2)</f>
        <v>0</v>
      </c>
      <c r="AO96" s="150"/>
      <c r="AP96" s="150"/>
      <c r="AQ96" s="21"/>
      <c r="AS96" s="77">
        <v>0</v>
      </c>
      <c r="AT96" s="78" t="s">
        <v>86</v>
      </c>
      <c r="AU96" s="78" t="s">
        <v>40</v>
      </c>
      <c r="AV96" s="79">
        <f>ROUNDUP(IF($AU$96="základní",$AG$96*$L$28,IF($AU$96="snížená",$AG$96*$L$29,0)),2)</f>
        <v>0</v>
      </c>
      <c r="BV96" s="6" t="s">
        <v>87</v>
      </c>
      <c r="BY96" s="76">
        <f>IF($AU$96="základní",$AV$96,0)</f>
        <v>0</v>
      </c>
      <c r="BZ96" s="76">
        <f>IF($AU$96="snížená",$AV$96,0)</f>
        <v>0</v>
      </c>
      <c r="CA96" s="76">
        <v>0</v>
      </c>
      <c r="CB96" s="76">
        <v>0</v>
      </c>
      <c r="CC96" s="76">
        <v>0</v>
      </c>
      <c r="CD96" s="76">
        <f>IF($AU$96="základní",$AG$96,0)</f>
        <v>0</v>
      </c>
      <c r="CE96" s="76">
        <f>IF($AU$96="snížená",$AG$96,0)</f>
        <v>0</v>
      </c>
      <c r="CF96" s="76">
        <f>IF($AU$96="zákl. přenesená",$AG$96,0)</f>
        <v>0</v>
      </c>
      <c r="CG96" s="76">
        <f>IF($AU$96="sníž. přenesená",$AG$96,0)</f>
        <v>0</v>
      </c>
      <c r="CH96" s="76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0"/>
      <c r="D97" s="72" t="s">
        <v>93</v>
      </c>
      <c r="AG97" s="151">
        <f>ROUNDUP($AG$87*$AS$97,2)</f>
        <v>0</v>
      </c>
      <c r="AH97" s="150"/>
      <c r="AI97" s="150"/>
      <c r="AJ97" s="150"/>
      <c r="AK97" s="150"/>
      <c r="AL97" s="150"/>
      <c r="AM97" s="150"/>
      <c r="AN97" s="152">
        <f>ROUNDUP($AG$97+$AV$97,2)</f>
        <v>0</v>
      </c>
      <c r="AO97" s="150"/>
      <c r="AP97" s="150"/>
      <c r="AQ97" s="21"/>
      <c r="AS97" s="77">
        <v>0</v>
      </c>
      <c r="AT97" s="78" t="s">
        <v>86</v>
      </c>
      <c r="AU97" s="78" t="s">
        <v>40</v>
      </c>
      <c r="AV97" s="79">
        <f>ROUNDUP(IF($AU$97="základní",$AG$97*$L$28,IF($AU$97="snížená",$AG$97*$L$29,0)),2)</f>
        <v>0</v>
      </c>
      <c r="BV97" s="6" t="s">
        <v>87</v>
      </c>
      <c r="BY97" s="76">
        <f>IF($AU$97="základní",$AV$97,0)</f>
        <v>0</v>
      </c>
      <c r="BZ97" s="76">
        <f>IF($AU$97="snížená",$AV$97,0)</f>
        <v>0</v>
      </c>
      <c r="CA97" s="76">
        <v>0</v>
      </c>
      <c r="CB97" s="76">
        <v>0</v>
      </c>
      <c r="CC97" s="76">
        <v>0</v>
      </c>
      <c r="CD97" s="76">
        <f>IF($AU$97="základní",$AG$97,0)</f>
        <v>0</v>
      </c>
      <c r="CE97" s="76">
        <f>IF($AU$97="snížená",$AG$97,0)</f>
        <v>0</v>
      </c>
      <c r="CF97" s="76">
        <f>IF($AU$97="zákl. přenesená",$AG$97,0)</f>
        <v>0</v>
      </c>
      <c r="CG97" s="76">
        <f>IF($AU$97="sníž. přenesená",$AG$97,0)</f>
        <v>0</v>
      </c>
      <c r="CH97" s="76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0"/>
      <c r="D98" s="72" t="s">
        <v>94</v>
      </c>
      <c r="AG98" s="151">
        <f>ROUNDUP($AG$87*$AS$98,2)</f>
        <v>0</v>
      </c>
      <c r="AH98" s="150"/>
      <c r="AI98" s="150"/>
      <c r="AJ98" s="150"/>
      <c r="AK98" s="150"/>
      <c r="AL98" s="150"/>
      <c r="AM98" s="150"/>
      <c r="AN98" s="152">
        <f>ROUNDUP($AG$98+$AV$98,2)</f>
        <v>0</v>
      </c>
      <c r="AO98" s="150"/>
      <c r="AP98" s="150"/>
      <c r="AQ98" s="21"/>
      <c r="AS98" s="77">
        <v>0</v>
      </c>
      <c r="AT98" s="78" t="s">
        <v>86</v>
      </c>
      <c r="AU98" s="78" t="s">
        <v>40</v>
      </c>
      <c r="AV98" s="79">
        <f>ROUNDUP(IF($AU$98="základní",$AG$98*$L$28,IF($AU$98="snížená",$AG$98*$L$29,0)),2)</f>
        <v>0</v>
      </c>
      <c r="BV98" s="6" t="s">
        <v>87</v>
      </c>
      <c r="BY98" s="76">
        <f>IF($AU$98="základní",$AV$98,0)</f>
        <v>0</v>
      </c>
      <c r="BZ98" s="76">
        <f>IF($AU$98="snížená",$AV$98,0)</f>
        <v>0</v>
      </c>
      <c r="CA98" s="76">
        <v>0</v>
      </c>
      <c r="CB98" s="76">
        <v>0</v>
      </c>
      <c r="CC98" s="76">
        <v>0</v>
      </c>
      <c r="CD98" s="76">
        <f>IF($AU$98="základní",$AG$98,0)</f>
        <v>0</v>
      </c>
      <c r="CE98" s="76">
        <f>IF($AU$98="snížená",$AG$98,0)</f>
        <v>0</v>
      </c>
      <c r="CF98" s="76">
        <f>IF($AU$98="zákl. přenesená",$AG$98,0)</f>
        <v>0</v>
      </c>
      <c r="CG98" s="76">
        <f>IF($AU$98="sníž. přenesená",$AG$98,0)</f>
        <v>0</v>
      </c>
      <c r="CH98" s="76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0"/>
      <c r="D99" s="72" t="s">
        <v>95</v>
      </c>
      <c r="AG99" s="151">
        <f>ROUNDUP($AG$87*$AS$99,2)</f>
        <v>0</v>
      </c>
      <c r="AH99" s="150"/>
      <c r="AI99" s="150"/>
      <c r="AJ99" s="150"/>
      <c r="AK99" s="150"/>
      <c r="AL99" s="150"/>
      <c r="AM99" s="150"/>
      <c r="AN99" s="152">
        <f>ROUNDUP($AG$99+$AV$99,2)</f>
        <v>0</v>
      </c>
      <c r="AO99" s="150"/>
      <c r="AP99" s="150"/>
      <c r="AQ99" s="21"/>
      <c r="AS99" s="77">
        <v>0</v>
      </c>
      <c r="AT99" s="78" t="s">
        <v>86</v>
      </c>
      <c r="AU99" s="78" t="s">
        <v>40</v>
      </c>
      <c r="AV99" s="79">
        <f>ROUNDUP(IF($AU$99="základní",$AG$99*$L$28,IF($AU$99="snížená",$AG$99*$L$29,0)),2)</f>
        <v>0</v>
      </c>
      <c r="BV99" s="6" t="s">
        <v>87</v>
      </c>
      <c r="BY99" s="76">
        <f>IF($AU$99="základní",$AV$99,0)</f>
        <v>0</v>
      </c>
      <c r="BZ99" s="76">
        <f>IF($AU$99="snížená",$AV$99,0)</f>
        <v>0</v>
      </c>
      <c r="CA99" s="76">
        <v>0</v>
      </c>
      <c r="CB99" s="76">
        <v>0</v>
      </c>
      <c r="CC99" s="76">
        <v>0</v>
      </c>
      <c r="CD99" s="76">
        <f>IF($AU$99="základní",$AG$99,0)</f>
        <v>0</v>
      </c>
      <c r="CE99" s="76">
        <f>IF($AU$99="snížená",$AG$99,0)</f>
        <v>0</v>
      </c>
      <c r="CF99" s="76">
        <f>IF($AU$99="zákl. přenesená",$AG$99,0)</f>
        <v>0</v>
      </c>
      <c r="CG99" s="76">
        <f>IF($AU$99="sníž. přenesená",$AG$99,0)</f>
        <v>0</v>
      </c>
      <c r="CH99" s="76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0"/>
      <c r="D100" s="72" t="s">
        <v>96</v>
      </c>
      <c r="AG100" s="151">
        <f>ROUNDUP($AG$87*$AS$100,2)</f>
        <v>0</v>
      </c>
      <c r="AH100" s="150"/>
      <c r="AI100" s="150"/>
      <c r="AJ100" s="150"/>
      <c r="AK100" s="150"/>
      <c r="AL100" s="150"/>
      <c r="AM100" s="150"/>
      <c r="AN100" s="152">
        <f>ROUNDUP($AG$100+$AV$100,2)</f>
        <v>0</v>
      </c>
      <c r="AO100" s="150"/>
      <c r="AP100" s="150"/>
      <c r="AQ100" s="21"/>
      <c r="AS100" s="77">
        <v>0</v>
      </c>
      <c r="AT100" s="78" t="s">
        <v>86</v>
      </c>
      <c r="AU100" s="78" t="s">
        <v>40</v>
      </c>
      <c r="AV100" s="79">
        <f>ROUNDUP(IF($AU$100="základní",$AG$100*$L$28,IF($AU$100="snížená",$AG$100*$L$29,0)),2)</f>
        <v>0</v>
      </c>
      <c r="BV100" s="6" t="s">
        <v>87</v>
      </c>
      <c r="BY100" s="76">
        <f>IF($AU$100="základní",$AV$100,0)</f>
        <v>0</v>
      </c>
      <c r="BZ100" s="76">
        <f>IF($AU$100="snížená",$AV$100,0)</f>
        <v>0</v>
      </c>
      <c r="CA100" s="76">
        <v>0</v>
      </c>
      <c r="CB100" s="76">
        <v>0</v>
      </c>
      <c r="CC100" s="76">
        <v>0</v>
      </c>
      <c r="CD100" s="76">
        <f>IF($AU$100="základní",$AG$100,0)</f>
        <v>0</v>
      </c>
      <c r="CE100" s="76">
        <f>IF($AU$100="snížená",$AG$100,0)</f>
        <v>0</v>
      </c>
      <c r="CF100" s="76">
        <f>IF($AU$100="zákl. přenesená",$AG$100,0)</f>
        <v>0</v>
      </c>
      <c r="CG100" s="76">
        <f>IF($AU$100="sníž. přenesená",$AG$100,0)</f>
        <v>0</v>
      </c>
      <c r="CH100" s="76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0"/>
      <c r="D101" s="149" t="s">
        <v>97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G101" s="151">
        <f>$AG$87*$AS$101</f>
        <v>0</v>
      </c>
      <c r="AH101" s="150"/>
      <c r="AI101" s="150"/>
      <c r="AJ101" s="150"/>
      <c r="AK101" s="150"/>
      <c r="AL101" s="150"/>
      <c r="AM101" s="150"/>
      <c r="AN101" s="152">
        <f>$AG$101+$AV$101</f>
        <v>0</v>
      </c>
      <c r="AO101" s="150"/>
      <c r="AP101" s="150"/>
      <c r="AQ101" s="21"/>
      <c r="AS101" s="77">
        <v>0</v>
      </c>
      <c r="AT101" s="78" t="s">
        <v>86</v>
      </c>
      <c r="AU101" s="78" t="s">
        <v>40</v>
      </c>
      <c r="AV101" s="79">
        <f>ROUNDUP(IF($AU$101="nulová",0,IF(OR($AU$101="základní",$AU$101="zákl. přenesená"),$AG$101*$L$28,$AG$101*$L$29)),1)</f>
        <v>0</v>
      </c>
      <c r="BV101" s="6" t="s">
        <v>98</v>
      </c>
      <c r="BY101" s="76">
        <f>IF($AU$101="základní",$AV$101,0)</f>
        <v>0</v>
      </c>
      <c r="BZ101" s="76">
        <f>IF($AU$101="snížená",$AV$101,0)</f>
        <v>0</v>
      </c>
      <c r="CA101" s="76">
        <f>IF($AU$101="zákl. přenesená",$AV$101,0)</f>
        <v>0</v>
      </c>
      <c r="CB101" s="76">
        <f>IF($AU$101="sníž. přenesená",$AV$101,0)</f>
        <v>0</v>
      </c>
      <c r="CC101" s="76">
        <f>IF($AU$101="nulová",$AV$101,0)</f>
        <v>0</v>
      </c>
      <c r="CD101" s="76">
        <f>IF($AU$101="základní",$AG$101,0)</f>
        <v>0</v>
      </c>
      <c r="CE101" s="76">
        <f>IF($AU$101="snížená",$AG$101,0)</f>
        <v>0</v>
      </c>
      <c r="CF101" s="76">
        <f>IF($AU$101="zákl. přenesená",$AG$101,0)</f>
        <v>0</v>
      </c>
      <c r="CG101" s="76">
        <f>IF($AU$101="sníž. přenesená",$AG$101,0)</f>
        <v>0</v>
      </c>
      <c r="CH101" s="76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0"/>
      <c r="D102" s="149" t="s">
        <v>97</v>
      </c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G102" s="151">
        <f>$AG$87*$AS$102</f>
        <v>0</v>
      </c>
      <c r="AH102" s="150"/>
      <c r="AI102" s="150"/>
      <c r="AJ102" s="150"/>
      <c r="AK102" s="150"/>
      <c r="AL102" s="150"/>
      <c r="AM102" s="150"/>
      <c r="AN102" s="152">
        <f>$AG$102+$AV$102</f>
        <v>0</v>
      </c>
      <c r="AO102" s="150"/>
      <c r="AP102" s="150"/>
      <c r="AQ102" s="21"/>
      <c r="AS102" s="77">
        <v>0</v>
      </c>
      <c r="AT102" s="78" t="s">
        <v>86</v>
      </c>
      <c r="AU102" s="78" t="s">
        <v>40</v>
      </c>
      <c r="AV102" s="79">
        <f>ROUNDUP(IF($AU$102="nulová",0,IF(OR($AU$102="základní",$AU$102="zákl. přenesená"),$AG$102*$L$28,$AG$102*$L$29)),1)</f>
        <v>0</v>
      </c>
      <c r="BV102" s="6" t="s">
        <v>98</v>
      </c>
      <c r="BY102" s="76">
        <f>IF($AU$102="základní",$AV$102,0)</f>
        <v>0</v>
      </c>
      <c r="BZ102" s="76">
        <f>IF($AU$102="snížená",$AV$102,0)</f>
        <v>0</v>
      </c>
      <c r="CA102" s="76">
        <f>IF($AU$102="zákl. přenesená",$AV$102,0)</f>
        <v>0</v>
      </c>
      <c r="CB102" s="76">
        <f>IF($AU$102="sníž. přenesená",$AV$102,0)</f>
        <v>0</v>
      </c>
      <c r="CC102" s="76">
        <f>IF($AU$102="nulová",$AV$102,0)</f>
        <v>0</v>
      </c>
      <c r="CD102" s="76">
        <f>IF($AU$102="základní",$AG$102,0)</f>
        <v>0</v>
      </c>
      <c r="CE102" s="76">
        <f>IF($AU$102="snížená",$AG$102,0)</f>
        <v>0</v>
      </c>
      <c r="CF102" s="76">
        <f>IF($AU$102="zákl. přenesená",$AG$102,0)</f>
        <v>0</v>
      </c>
      <c r="CG102" s="76">
        <f>IF($AU$102="sníž. přenesená",$AG$102,0)</f>
        <v>0</v>
      </c>
      <c r="CH102" s="76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0"/>
      <c r="D103" s="149" t="s">
        <v>97</v>
      </c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G103" s="151">
        <f>$AG$87*$AS$103</f>
        <v>0</v>
      </c>
      <c r="AH103" s="150"/>
      <c r="AI103" s="150"/>
      <c r="AJ103" s="150"/>
      <c r="AK103" s="150"/>
      <c r="AL103" s="150"/>
      <c r="AM103" s="150"/>
      <c r="AN103" s="152">
        <f>$AG$103+$AV$103</f>
        <v>0</v>
      </c>
      <c r="AO103" s="150"/>
      <c r="AP103" s="150"/>
      <c r="AQ103" s="21"/>
      <c r="AS103" s="80">
        <v>0</v>
      </c>
      <c r="AT103" s="81" t="s">
        <v>86</v>
      </c>
      <c r="AU103" s="81" t="s">
        <v>40</v>
      </c>
      <c r="AV103" s="82">
        <f>ROUNDUP(IF($AU$103="nulová",0,IF(OR($AU$103="základní",$AU$103="zákl. přenesená"),$AG$103*$L$28,$AG$103*$L$29)),1)</f>
        <v>0</v>
      </c>
      <c r="BV103" s="6" t="s">
        <v>98</v>
      </c>
      <c r="BY103" s="76">
        <f>IF($AU$103="základní",$AV$103,0)</f>
        <v>0</v>
      </c>
      <c r="BZ103" s="76">
        <f>IF($AU$103="snížená",$AV$103,0)</f>
        <v>0</v>
      </c>
      <c r="CA103" s="76">
        <f>IF($AU$103="zákl. přenesená",$AV$103,0)</f>
        <v>0</v>
      </c>
      <c r="CB103" s="76">
        <f>IF($AU$103="sníž. přenesená",$AV$103,0)</f>
        <v>0</v>
      </c>
      <c r="CC103" s="76">
        <f>IF($AU$103="nulová",$AV$103,0)</f>
        <v>0</v>
      </c>
      <c r="CD103" s="76">
        <f>IF($AU$103="základní",$AG$103,0)</f>
        <v>0</v>
      </c>
      <c r="CE103" s="76">
        <f>IF($AU$103="snížená",$AG$103,0)</f>
        <v>0</v>
      </c>
      <c r="CF103" s="76">
        <f>IF($AU$103="zákl. přenesená",$AG$103,0)</f>
        <v>0</v>
      </c>
      <c r="CG103" s="76">
        <f>IF($AU$103="sníž. přenesená",$AG$103,0)</f>
        <v>0</v>
      </c>
      <c r="CH103" s="76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0"/>
      <c r="AQ104" s="21"/>
    </row>
    <row r="105" spans="2:43" s="6" customFormat="1" ht="30.75" customHeight="1">
      <c r="B105" s="20"/>
      <c r="C105" s="83" t="s">
        <v>99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145">
        <f>ROUNDUP($AG$87+$AG$90,2)</f>
        <v>0</v>
      </c>
      <c r="AH105" s="146"/>
      <c r="AI105" s="146"/>
      <c r="AJ105" s="146"/>
      <c r="AK105" s="146"/>
      <c r="AL105" s="146"/>
      <c r="AM105" s="146"/>
      <c r="AN105" s="145">
        <f>ROUNDUP($AN$87+$AN$90,2)</f>
        <v>0</v>
      </c>
      <c r="AO105" s="146"/>
      <c r="AP105" s="146"/>
      <c r="AQ105" s="21"/>
    </row>
    <row r="106" spans="2:43" s="6" customFormat="1" ht="7.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4"/>
    </row>
  </sheetData>
  <sheetProtection/>
  <mergeCells count="74"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3-ksi-05 - Oprava opěr...'!C2" tooltip="2013-ksi-05 - Oprava opěr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9"/>
  <sheetViews>
    <sheetView showGridLines="0" zoomScalePageLayoutView="0" workbookViewId="0" topLeftCell="A1">
      <pane ySplit="1" topLeftCell="A199" activePane="bottomLeft" state="frozen"/>
      <selection pane="topLeft" activeCell="A1" sqref="A1"/>
      <selection pane="bottomLeft" activeCell="S1" sqref="S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3"/>
      <c r="B1" s="140"/>
      <c r="C1" s="140"/>
      <c r="D1" s="141" t="s">
        <v>1</v>
      </c>
      <c r="E1" s="140"/>
      <c r="F1" s="142" t="s">
        <v>303</v>
      </c>
      <c r="G1" s="142"/>
      <c r="H1" s="180" t="s">
        <v>304</v>
      </c>
      <c r="I1" s="180"/>
      <c r="J1" s="180"/>
      <c r="K1" s="180"/>
      <c r="L1" s="142" t="s">
        <v>305</v>
      </c>
      <c r="M1" s="140"/>
      <c r="N1" s="140"/>
      <c r="O1" s="141" t="s">
        <v>100</v>
      </c>
      <c r="P1" s="140"/>
      <c r="Q1" s="140"/>
      <c r="R1" s="140"/>
      <c r="S1" s="142" t="s">
        <v>306</v>
      </c>
      <c r="T1" s="142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4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47" t="s">
        <v>5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101</v>
      </c>
    </row>
    <row r="4" spans="2:46" s="2" customFormat="1" ht="37.5" customHeight="1">
      <c r="B4" s="10"/>
      <c r="C4" s="165" t="s">
        <v>102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200" t="str">
        <f>'Rekapitulace stavby'!$K$6</f>
        <v>2013-01 - Oprava a sanace opěrné zdi v Karlových Varech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R6" s="11"/>
    </row>
    <row r="7" spans="2:18" s="6" customFormat="1" ht="18.75" customHeight="1">
      <c r="B7" s="20"/>
      <c r="D7" s="14" t="s">
        <v>103</v>
      </c>
      <c r="F7" s="166" t="s">
        <v>308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R7" s="21"/>
    </row>
    <row r="8" spans="2:18" s="6" customFormat="1" ht="7.5" customHeight="1">
      <c r="B8" s="20"/>
      <c r="R8" s="21"/>
    </row>
    <row r="9" spans="2:18" s="6" customFormat="1" ht="15" customHeight="1">
      <c r="B9" s="20"/>
      <c r="D9" s="15" t="s">
        <v>18</v>
      </c>
      <c r="F9" s="16" t="s">
        <v>19</v>
      </c>
      <c r="M9" s="15" t="s">
        <v>20</v>
      </c>
      <c r="O9" s="208">
        <f>'Rekapitulace stavby'!$AN$8</f>
        <v>41246</v>
      </c>
      <c r="P9" s="150"/>
      <c r="R9" s="21"/>
    </row>
    <row r="10" spans="2:18" s="6" customFormat="1" ht="7.5" customHeight="1">
      <c r="B10" s="20"/>
      <c r="R10" s="21"/>
    </row>
    <row r="11" spans="2:18" s="6" customFormat="1" ht="15" customHeight="1">
      <c r="B11" s="20"/>
      <c r="D11" s="15" t="s">
        <v>23</v>
      </c>
      <c r="M11" s="15" t="s">
        <v>24</v>
      </c>
      <c r="O11" s="167"/>
      <c r="P11" s="150"/>
      <c r="R11" s="21"/>
    </row>
    <row r="12" spans="2:18" s="6" customFormat="1" ht="18.75" customHeight="1">
      <c r="B12" s="20"/>
      <c r="E12" s="16" t="s">
        <v>25</v>
      </c>
      <c r="M12" s="15" t="s">
        <v>26</v>
      </c>
      <c r="O12" s="167"/>
      <c r="P12" s="150"/>
      <c r="R12" s="21"/>
    </row>
    <row r="13" spans="2:18" s="6" customFormat="1" ht="7.5" customHeight="1">
      <c r="B13" s="20"/>
      <c r="R13" s="21"/>
    </row>
    <row r="14" spans="2:18" s="6" customFormat="1" ht="15" customHeight="1">
      <c r="B14" s="20"/>
      <c r="D14" s="15" t="s">
        <v>27</v>
      </c>
      <c r="M14" s="15" t="s">
        <v>24</v>
      </c>
      <c r="O14" s="207" t="str">
        <f>IF('Rekapitulace stavby'!$AN$13="","",'Rekapitulace stavby'!$AN$13)</f>
        <v>Vyplň údaj</v>
      </c>
      <c r="P14" s="150"/>
      <c r="R14" s="21"/>
    </row>
    <row r="15" spans="2:18" s="6" customFormat="1" ht="18.75" customHeight="1">
      <c r="B15" s="20"/>
      <c r="E15" s="207" t="str">
        <f>IF('Rekapitulace stavby'!$E$14="","",'Rekapitulace stavby'!$E$14)</f>
        <v>Vyplň údaj</v>
      </c>
      <c r="F15" s="150"/>
      <c r="G15" s="150"/>
      <c r="H15" s="150"/>
      <c r="I15" s="150"/>
      <c r="J15" s="150"/>
      <c r="K15" s="150"/>
      <c r="L15" s="150"/>
      <c r="M15" s="15" t="s">
        <v>26</v>
      </c>
      <c r="O15" s="207" t="str">
        <f>IF('Rekapitulace stavby'!$AN$14="","",'Rekapitulace stavby'!$AN$14)</f>
        <v>Vyplň údaj</v>
      </c>
      <c r="P15" s="150"/>
      <c r="R15" s="21"/>
    </row>
    <row r="16" spans="2:18" s="6" customFormat="1" ht="7.5" customHeight="1">
      <c r="B16" s="20"/>
      <c r="R16" s="21"/>
    </row>
    <row r="17" spans="2:18" s="6" customFormat="1" ht="15" customHeight="1">
      <c r="B17" s="20"/>
      <c r="D17" s="15" t="s">
        <v>29</v>
      </c>
      <c r="M17" s="15" t="s">
        <v>24</v>
      </c>
      <c r="O17" s="167" t="s">
        <v>30</v>
      </c>
      <c r="P17" s="150"/>
      <c r="R17" s="21"/>
    </row>
    <row r="18" spans="2:18" s="6" customFormat="1" ht="18.75" customHeight="1">
      <c r="B18" s="20"/>
      <c r="E18" s="16" t="s">
        <v>31</v>
      </c>
      <c r="M18" s="15" t="s">
        <v>26</v>
      </c>
      <c r="O18" s="167" t="s">
        <v>32</v>
      </c>
      <c r="P18" s="150"/>
      <c r="R18" s="21"/>
    </row>
    <row r="19" spans="2:18" s="6" customFormat="1" ht="7.5" customHeight="1">
      <c r="B19" s="20"/>
      <c r="R19" s="21"/>
    </row>
    <row r="20" spans="2:18" s="6" customFormat="1" ht="15" customHeight="1">
      <c r="B20" s="20"/>
      <c r="D20" s="15" t="s">
        <v>34</v>
      </c>
      <c r="M20" s="15" t="s">
        <v>24</v>
      </c>
      <c r="O20" s="167"/>
      <c r="P20" s="150"/>
      <c r="R20" s="21"/>
    </row>
    <row r="21" spans="2:18" s="6" customFormat="1" ht="18.75" customHeight="1">
      <c r="B21" s="20"/>
      <c r="E21" s="16" t="s">
        <v>35</v>
      </c>
      <c r="M21" s="15" t="s">
        <v>26</v>
      </c>
      <c r="O21" s="167"/>
      <c r="P21" s="150"/>
      <c r="R21" s="21"/>
    </row>
    <row r="22" spans="2:18" s="6" customFormat="1" ht="7.5" customHeight="1">
      <c r="B22" s="20"/>
      <c r="R22" s="21"/>
    </row>
    <row r="23" spans="2:18" s="6" customFormat="1" ht="7.5" customHeight="1">
      <c r="B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R23" s="21"/>
    </row>
    <row r="24" spans="2:18" s="6" customFormat="1" ht="15" customHeight="1">
      <c r="B24" s="20"/>
      <c r="D24" s="84" t="s">
        <v>104</v>
      </c>
      <c r="M24" s="177">
        <f>$N$88</f>
        <v>0</v>
      </c>
      <c r="N24" s="150"/>
      <c r="O24" s="150"/>
      <c r="P24" s="150"/>
      <c r="R24" s="21"/>
    </row>
    <row r="25" spans="2:18" s="6" customFormat="1" ht="15" customHeight="1">
      <c r="B25" s="20"/>
      <c r="D25" s="19" t="s">
        <v>92</v>
      </c>
      <c r="M25" s="177">
        <f>$N$98</f>
        <v>0</v>
      </c>
      <c r="N25" s="150"/>
      <c r="O25" s="150"/>
      <c r="P25" s="150"/>
      <c r="R25" s="21"/>
    </row>
    <row r="26" spans="2:18" s="6" customFormat="1" ht="7.5" customHeight="1">
      <c r="B26" s="20"/>
      <c r="R26" s="21"/>
    </row>
    <row r="27" spans="2:18" s="6" customFormat="1" ht="26.25" customHeight="1">
      <c r="B27" s="20"/>
      <c r="D27" s="85" t="s">
        <v>38</v>
      </c>
      <c r="M27" s="206">
        <f>ROUNDUP($M$24+$M$25,2)</f>
        <v>0</v>
      </c>
      <c r="N27" s="150"/>
      <c r="O27" s="150"/>
      <c r="P27" s="150"/>
      <c r="R27" s="21"/>
    </row>
    <row r="28" spans="2:18" s="6" customFormat="1" ht="7.5" customHeight="1">
      <c r="B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1"/>
    </row>
    <row r="29" spans="2:18" s="6" customFormat="1" ht="15" customHeight="1">
      <c r="B29" s="20"/>
      <c r="D29" s="25" t="s">
        <v>39</v>
      </c>
      <c r="E29" s="25" t="s">
        <v>40</v>
      </c>
      <c r="F29" s="26">
        <v>0.21</v>
      </c>
      <c r="G29" s="86" t="s">
        <v>41</v>
      </c>
      <c r="H29" s="205">
        <f>ROUNDUP((((SUM($BE$98:$BE$105)+SUM($BE$123:$BE$192))+SUM($BE$194:$BE$198))),2)</f>
        <v>0</v>
      </c>
      <c r="I29" s="150"/>
      <c r="J29" s="150"/>
      <c r="M29" s="205">
        <f>ROUNDUP((((SUM($BE$98:$BE$105)+SUM($BE$123:$BE$192))*$F$29)+SUM($BE$194:$BE$198)*$F$29),1)</f>
        <v>0</v>
      </c>
      <c r="N29" s="150"/>
      <c r="O29" s="150"/>
      <c r="P29" s="150"/>
      <c r="R29" s="21"/>
    </row>
    <row r="30" spans="2:18" s="6" customFormat="1" ht="15" customHeight="1">
      <c r="B30" s="20"/>
      <c r="E30" s="25" t="s">
        <v>42</v>
      </c>
      <c r="F30" s="26">
        <v>0.15</v>
      </c>
      <c r="G30" s="86" t="s">
        <v>41</v>
      </c>
      <c r="H30" s="205">
        <f>ROUNDUP((((SUM($BF$98:$BF$105)+SUM($BF$123:$BF$192))+SUM($BF$194:$BF$198))),2)</f>
        <v>0</v>
      </c>
      <c r="I30" s="150"/>
      <c r="J30" s="150"/>
      <c r="M30" s="205">
        <f>ROUNDUP((((SUM($BF$98:$BF$105)+SUM($BF$123:$BF$192))*$F$30)+SUM($BF$194:$BF$198)*$F$30),1)</f>
        <v>0</v>
      </c>
      <c r="N30" s="150"/>
      <c r="O30" s="150"/>
      <c r="P30" s="150"/>
      <c r="R30" s="21"/>
    </row>
    <row r="31" spans="2:18" s="6" customFormat="1" ht="15" customHeight="1" hidden="1">
      <c r="B31" s="20"/>
      <c r="E31" s="25" t="s">
        <v>43</v>
      </c>
      <c r="F31" s="26">
        <v>0.21</v>
      </c>
      <c r="G31" s="86" t="s">
        <v>41</v>
      </c>
      <c r="H31" s="205">
        <f>ROUNDUP((((SUM($BG$98:$BG$105)+SUM($BG$123:$BG$192))+SUM($BG$194:$BG$198))),2)</f>
        <v>0</v>
      </c>
      <c r="I31" s="150"/>
      <c r="J31" s="150"/>
      <c r="M31" s="205">
        <v>0</v>
      </c>
      <c r="N31" s="150"/>
      <c r="O31" s="150"/>
      <c r="P31" s="150"/>
      <c r="R31" s="21"/>
    </row>
    <row r="32" spans="2:18" s="6" customFormat="1" ht="15" customHeight="1" hidden="1">
      <c r="B32" s="20"/>
      <c r="E32" s="25" t="s">
        <v>44</v>
      </c>
      <c r="F32" s="26">
        <v>0.15</v>
      </c>
      <c r="G32" s="86" t="s">
        <v>41</v>
      </c>
      <c r="H32" s="205">
        <f>ROUNDUP((((SUM($BH$98:$BH$105)+SUM($BH$123:$BH$192))+SUM($BH$194:$BH$198))),2)</f>
        <v>0</v>
      </c>
      <c r="I32" s="150"/>
      <c r="J32" s="150"/>
      <c r="M32" s="205">
        <v>0</v>
      </c>
      <c r="N32" s="150"/>
      <c r="O32" s="150"/>
      <c r="P32" s="150"/>
      <c r="R32" s="21"/>
    </row>
    <row r="33" spans="2:18" s="6" customFormat="1" ht="15" customHeight="1" hidden="1">
      <c r="B33" s="20"/>
      <c r="E33" s="25" t="s">
        <v>45</v>
      </c>
      <c r="F33" s="26">
        <v>0</v>
      </c>
      <c r="G33" s="86" t="s">
        <v>41</v>
      </c>
      <c r="H33" s="205">
        <f>ROUNDUP((((SUM($BI$98:$BI$105)+SUM($BI$123:$BI$192))+SUM($BI$194:$BI$198))),2)</f>
        <v>0</v>
      </c>
      <c r="I33" s="150"/>
      <c r="J33" s="150"/>
      <c r="M33" s="205">
        <v>0</v>
      </c>
      <c r="N33" s="150"/>
      <c r="O33" s="150"/>
      <c r="P33" s="150"/>
      <c r="R33" s="21"/>
    </row>
    <row r="34" spans="2:18" s="6" customFormat="1" ht="7.5" customHeight="1">
      <c r="B34" s="20"/>
      <c r="R34" s="21"/>
    </row>
    <row r="35" spans="2:18" s="6" customFormat="1" ht="26.25" customHeight="1">
      <c r="B35" s="20"/>
      <c r="C35" s="29"/>
      <c r="D35" s="30" t="s">
        <v>46</v>
      </c>
      <c r="E35" s="31"/>
      <c r="F35" s="31"/>
      <c r="G35" s="87" t="s">
        <v>47</v>
      </c>
      <c r="H35" s="32" t="s">
        <v>48</v>
      </c>
      <c r="I35" s="31"/>
      <c r="J35" s="31"/>
      <c r="K35" s="31"/>
      <c r="L35" s="164">
        <f>ROUNDUP(SUM($M$27:$M$33),2)</f>
        <v>0</v>
      </c>
      <c r="M35" s="156"/>
      <c r="N35" s="156"/>
      <c r="O35" s="156"/>
      <c r="P35" s="158"/>
      <c r="Q35" s="29"/>
      <c r="R35" s="21"/>
    </row>
    <row r="36" spans="2:18" s="6" customFormat="1" ht="15" customHeight="1">
      <c r="B36" s="20"/>
      <c r="R36" s="21"/>
    </row>
    <row r="37" spans="2:18" s="6" customFormat="1" ht="15" customHeight="1">
      <c r="B37" s="20"/>
      <c r="R37" s="2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0"/>
      <c r="D50" s="33" t="s">
        <v>49</v>
      </c>
      <c r="E50" s="34"/>
      <c r="F50" s="34"/>
      <c r="G50" s="34"/>
      <c r="H50" s="35"/>
      <c r="J50" s="33" t="s">
        <v>50</v>
      </c>
      <c r="K50" s="34"/>
      <c r="L50" s="34"/>
      <c r="M50" s="34"/>
      <c r="N50" s="34"/>
      <c r="O50" s="34"/>
      <c r="P50" s="35"/>
      <c r="R50" s="21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0"/>
      <c r="D59" s="38" t="s">
        <v>51</v>
      </c>
      <c r="E59" s="39"/>
      <c r="F59" s="39"/>
      <c r="G59" s="40" t="s">
        <v>52</v>
      </c>
      <c r="H59" s="41"/>
      <c r="J59" s="38" t="s">
        <v>51</v>
      </c>
      <c r="K59" s="39"/>
      <c r="L59" s="39"/>
      <c r="M59" s="39"/>
      <c r="N59" s="40" t="s">
        <v>52</v>
      </c>
      <c r="O59" s="39"/>
      <c r="P59" s="41"/>
      <c r="R59" s="21"/>
    </row>
    <row r="60" spans="2:18" s="2" customFormat="1" ht="14.25" customHeight="1">
      <c r="B60" s="10"/>
      <c r="R60" s="11"/>
    </row>
    <row r="61" spans="2:18" s="6" customFormat="1" ht="15.75" customHeight="1">
      <c r="B61" s="20"/>
      <c r="D61" s="33" t="s">
        <v>53</v>
      </c>
      <c r="E61" s="34"/>
      <c r="F61" s="34"/>
      <c r="G61" s="34"/>
      <c r="H61" s="35"/>
      <c r="J61" s="33" t="s">
        <v>54</v>
      </c>
      <c r="K61" s="34"/>
      <c r="L61" s="34"/>
      <c r="M61" s="34"/>
      <c r="N61" s="34"/>
      <c r="O61" s="34"/>
      <c r="P61" s="35"/>
      <c r="R61" s="21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0"/>
      <c r="D70" s="38" t="s">
        <v>51</v>
      </c>
      <c r="E70" s="39"/>
      <c r="F70" s="39"/>
      <c r="G70" s="40" t="s">
        <v>52</v>
      </c>
      <c r="H70" s="41"/>
      <c r="J70" s="38" t="s">
        <v>51</v>
      </c>
      <c r="K70" s="39"/>
      <c r="L70" s="39"/>
      <c r="M70" s="39"/>
      <c r="N70" s="40" t="s">
        <v>52</v>
      </c>
      <c r="O70" s="39"/>
      <c r="P70" s="41"/>
      <c r="R70" s="21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0"/>
      <c r="C76" s="165" t="s">
        <v>105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21"/>
    </row>
    <row r="77" spans="2:18" s="6" customFormat="1" ht="7.5" customHeight="1">
      <c r="B77" s="20"/>
      <c r="R77" s="21"/>
    </row>
    <row r="78" spans="2:18" s="6" customFormat="1" ht="15" customHeight="1">
      <c r="B78" s="20"/>
      <c r="C78" s="15" t="s">
        <v>14</v>
      </c>
      <c r="F78" s="200" t="str">
        <f>$F$6</f>
        <v>2013-01 - Oprava a sanace opěrné zdi v Karlových Varech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R78" s="21"/>
    </row>
    <row r="79" spans="2:18" s="6" customFormat="1" ht="15" customHeight="1">
      <c r="B79" s="20"/>
      <c r="C79" s="14" t="s">
        <v>103</v>
      </c>
      <c r="F79" s="166" t="str">
        <f>$F$7</f>
        <v>2013-ksi-05 - Oprava opěrné zdi, na p. p. č. 1814, Jízdárenská ul., K. Vary</v>
      </c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R79" s="21"/>
    </row>
    <row r="80" spans="2:18" s="6" customFormat="1" ht="7.5" customHeight="1">
      <c r="B80" s="20"/>
      <c r="R80" s="21"/>
    </row>
    <row r="81" spans="2:18" s="6" customFormat="1" ht="18.75" customHeight="1">
      <c r="B81" s="20"/>
      <c r="C81" s="15" t="s">
        <v>18</v>
      </c>
      <c r="F81" s="16" t="str">
        <f>$F$9</f>
        <v>Karlovy Vary</v>
      </c>
      <c r="K81" s="15" t="s">
        <v>20</v>
      </c>
      <c r="M81" s="201">
        <f>IF($O$9="","",$O$9)</f>
        <v>41246</v>
      </c>
      <c r="N81" s="150"/>
      <c r="O81" s="150"/>
      <c r="P81" s="150"/>
      <c r="R81" s="21"/>
    </row>
    <row r="82" spans="2:18" s="6" customFormat="1" ht="7.5" customHeight="1">
      <c r="B82" s="20"/>
      <c r="R82" s="21"/>
    </row>
    <row r="83" spans="2:18" s="6" customFormat="1" ht="15.75" customHeight="1">
      <c r="B83" s="20"/>
      <c r="C83" s="15" t="s">
        <v>23</v>
      </c>
      <c r="F83" s="16" t="str">
        <f>$E$12</f>
        <v>Statutární město Karlovy Vary</v>
      </c>
      <c r="K83" s="15" t="s">
        <v>29</v>
      </c>
      <c r="M83" s="167" t="str">
        <f>$E$18</f>
        <v>Kancelář stavebního inženýrství s.r.o.</v>
      </c>
      <c r="N83" s="150"/>
      <c r="O83" s="150"/>
      <c r="P83" s="150"/>
      <c r="Q83" s="150"/>
      <c r="R83" s="21"/>
    </row>
    <row r="84" spans="2:18" s="6" customFormat="1" ht="15" customHeight="1">
      <c r="B84" s="20"/>
      <c r="C84" s="15" t="s">
        <v>27</v>
      </c>
      <c r="F84" s="16" t="str">
        <f>IF($E$15="","",$E$15)</f>
        <v>Vyplň údaj</v>
      </c>
      <c r="K84" s="15" t="s">
        <v>34</v>
      </c>
      <c r="M84" s="167" t="str">
        <f>$E$21</f>
        <v>D. Kryštovová</v>
      </c>
      <c r="N84" s="150"/>
      <c r="O84" s="150"/>
      <c r="P84" s="150"/>
      <c r="Q84" s="150"/>
      <c r="R84" s="21"/>
    </row>
    <row r="85" spans="2:18" s="6" customFormat="1" ht="11.25" customHeight="1">
      <c r="B85" s="20"/>
      <c r="R85" s="21"/>
    </row>
    <row r="86" spans="2:18" s="6" customFormat="1" ht="30" customHeight="1">
      <c r="B86" s="20"/>
      <c r="C86" s="204" t="s">
        <v>106</v>
      </c>
      <c r="D86" s="146"/>
      <c r="E86" s="146"/>
      <c r="F86" s="146"/>
      <c r="G86" s="146"/>
      <c r="H86" s="29"/>
      <c r="I86" s="29"/>
      <c r="J86" s="29"/>
      <c r="K86" s="29"/>
      <c r="L86" s="29"/>
      <c r="M86" s="29"/>
      <c r="N86" s="204" t="s">
        <v>107</v>
      </c>
      <c r="O86" s="150"/>
      <c r="P86" s="150"/>
      <c r="Q86" s="150"/>
      <c r="R86" s="21"/>
    </row>
    <row r="87" spans="2:18" s="6" customFormat="1" ht="11.25" customHeight="1">
      <c r="B87" s="20"/>
      <c r="R87" s="21"/>
    </row>
    <row r="88" spans="2:47" s="6" customFormat="1" ht="30" customHeight="1">
      <c r="B88" s="20"/>
      <c r="C88" s="58" t="s">
        <v>108</v>
      </c>
      <c r="N88" s="153">
        <f>ROUNDUP($N$123,2)</f>
        <v>0</v>
      </c>
      <c r="O88" s="150"/>
      <c r="P88" s="150"/>
      <c r="Q88" s="150"/>
      <c r="R88" s="21"/>
      <c r="AU88" s="6" t="s">
        <v>109</v>
      </c>
    </row>
    <row r="89" spans="2:18" s="63" customFormat="1" ht="25.5" customHeight="1">
      <c r="B89" s="88"/>
      <c r="D89" s="89" t="s">
        <v>110</v>
      </c>
      <c r="N89" s="203">
        <f>ROUNDUP($N$124,2)</f>
        <v>0</v>
      </c>
      <c r="O89" s="202"/>
      <c r="P89" s="202"/>
      <c r="Q89" s="202"/>
      <c r="R89" s="90"/>
    </row>
    <row r="90" spans="2:18" s="84" customFormat="1" ht="21" customHeight="1">
      <c r="B90" s="91"/>
      <c r="D90" s="72" t="s">
        <v>111</v>
      </c>
      <c r="N90" s="152">
        <f>ROUNDUP($N$125,2)</f>
        <v>0</v>
      </c>
      <c r="O90" s="202"/>
      <c r="P90" s="202"/>
      <c r="Q90" s="202"/>
      <c r="R90" s="92"/>
    </row>
    <row r="91" spans="2:18" s="84" customFormat="1" ht="21" customHeight="1">
      <c r="B91" s="91"/>
      <c r="D91" s="72" t="s">
        <v>112</v>
      </c>
      <c r="N91" s="152">
        <f>ROUNDUP($N$134,2)</f>
        <v>0</v>
      </c>
      <c r="O91" s="202"/>
      <c r="P91" s="202"/>
      <c r="Q91" s="202"/>
      <c r="R91" s="92"/>
    </row>
    <row r="92" spans="2:18" s="84" customFormat="1" ht="21" customHeight="1">
      <c r="B92" s="91"/>
      <c r="D92" s="72" t="s">
        <v>113</v>
      </c>
      <c r="N92" s="152">
        <f>ROUNDUP($N$140,2)</f>
        <v>0</v>
      </c>
      <c r="O92" s="202"/>
      <c r="P92" s="202"/>
      <c r="Q92" s="202"/>
      <c r="R92" s="92"/>
    </row>
    <row r="93" spans="2:18" s="84" customFormat="1" ht="21" customHeight="1">
      <c r="B93" s="91"/>
      <c r="D93" s="72" t="s">
        <v>114</v>
      </c>
      <c r="N93" s="152">
        <f>ROUNDUP($N$158,2)</f>
        <v>0</v>
      </c>
      <c r="O93" s="202"/>
      <c r="P93" s="202"/>
      <c r="Q93" s="202"/>
      <c r="R93" s="92"/>
    </row>
    <row r="94" spans="2:18" s="84" customFormat="1" ht="21" customHeight="1">
      <c r="B94" s="91"/>
      <c r="D94" s="72" t="s">
        <v>115</v>
      </c>
      <c r="N94" s="152">
        <f>ROUNDUP($N$161,2)</f>
        <v>0</v>
      </c>
      <c r="O94" s="202"/>
      <c r="P94" s="202"/>
      <c r="Q94" s="202"/>
      <c r="R94" s="92"/>
    </row>
    <row r="95" spans="2:18" s="84" customFormat="1" ht="15.75" customHeight="1">
      <c r="B95" s="91"/>
      <c r="D95" s="72" t="s">
        <v>116</v>
      </c>
      <c r="N95" s="152">
        <f>ROUNDUP($N$191,2)</f>
        <v>0</v>
      </c>
      <c r="O95" s="202"/>
      <c r="P95" s="202"/>
      <c r="Q95" s="202"/>
      <c r="R95" s="92"/>
    </row>
    <row r="96" spans="2:18" s="63" customFormat="1" ht="22.5" customHeight="1">
      <c r="B96" s="88"/>
      <c r="D96" s="89" t="s">
        <v>117</v>
      </c>
      <c r="N96" s="187">
        <f>$N$193</f>
        <v>0</v>
      </c>
      <c r="O96" s="202"/>
      <c r="P96" s="202"/>
      <c r="Q96" s="202"/>
      <c r="R96" s="90"/>
    </row>
    <row r="97" spans="2:18" s="6" customFormat="1" ht="22.5" customHeight="1">
      <c r="B97" s="20"/>
      <c r="R97" s="21"/>
    </row>
    <row r="98" spans="2:21" s="6" customFormat="1" ht="30" customHeight="1">
      <c r="B98" s="20"/>
      <c r="C98" s="58" t="s">
        <v>118</v>
      </c>
      <c r="N98" s="153">
        <f>ROUNDUP($N$99+$N$100+$N$101+$N$102+$N$103+$N$104,2)</f>
        <v>0</v>
      </c>
      <c r="O98" s="150"/>
      <c r="P98" s="150"/>
      <c r="Q98" s="150"/>
      <c r="R98" s="21"/>
      <c r="T98" s="93"/>
      <c r="U98" s="94" t="s">
        <v>39</v>
      </c>
    </row>
    <row r="99" spans="2:62" s="6" customFormat="1" ht="18.75" customHeight="1">
      <c r="B99" s="20"/>
      <c r="D99" s="149" t="s">
        <v>119</v>
      </c>
      <c r="E99" s="150"/>
      <c r="F99" s="150"/>
      <c r="G99" s="150"/>
      <c r="H99" s="150"/>
      <c r="N99" s="151">
        <f>ROUNDUP($N$88*$T$99,2)</f>
        <v>0</v>
      </c>
      <c r="O99" s="150"/>
      <c r="P99" s="150"/>
      <c r="Q99" s="150"/>
      <c r="R99" s="21"/>
      <c r="T99" s="95"/>
      <c r="U99" s="96" t="s">
        <v>40</v>
      </c>
      <c r="AY99" s="6" t="s">
        <v>120</v>
      </c>
      <c r="BE99" s="76">
        <f>IF($U$99="základní",$N$99,0)</f>
        <v>0</v>
      </c>
      <c r="BF99" s="76">
        <f>IF($U$99="snížená",$N$99,0)</f>
        <v>0</v>
      </c>
      <c r="BG99" s="76">
        <f>IF($U$99="zákl. přenesená",$N$99,0)</f>
        <v>0</v>
      </c>
      <c r="BH99" s="76">
        <f>IF($U$99="sníž. přenesená",$N$99,0)</f>
        <v>0</v>
      </c>
      <c r="BI99" s="76">
        <f>IF($U$99="nulová",$N$99,0)</f>
        <v>0</v>
      </c>
      <c r="BJ99" s="6" t="s">
        <v>17</v>
      </c>
    </row>
    <row r="100" spans="2:62" s="6" customFormat="1" ht="18.75" customHeight="1">
      <c r="B100" s="20"/>
      <c r="D100" s="149" t="s">
        <v>121</v>
      </c>
      <c r="E100" s="150"/>
      <c r="F100" s="150"/>
      <c r="G100" s="150"/>
      <c r="H100" s="150"/>
      <c r="N100" s="151">
        <f>ROUNDUP($N$88*$T$100,2)</f>
        <v>0</v>
      </c>
      <c r="O100" s="150"/>
      <c r="P100" s="150"/>
      <c r="Q100" s="150"/>
      <c r="R100" s="21"/>
      <c r="T100" s="95"/>
      <c r="U100" s="96" t="s">
        <v>40</v>
      </c>
      <c r="AY100" s="6" t="s">
        <v>120</v>
      </c>
      <c r="BE100" s="76">
        <f>IF($U$100="základní",$N$100,0)</f>
        <v>0</v>
      </c>
      <c r="BF100" s="76">
        <f>IF($U$100="snížená",$N$100,0)</f>
        <v>0</v>
      </c>
      <c r="BG100" s="76">
        <f>IF($U$100="zákl. přenesená",$N$100,0)</f>
        <v>0</v>
      </c>
      <c r="BH100" s="76">
        <f>IF($U$100="sníž. přenesená",$N$100,0)</f>
        <v>0</v>
      </c>
      <c r="BI100" s="76">
        <f>IF($U$100="nulová",$N$100,0)</f>
        <v>0</v>
      </c>
      <c r="BJ100" s="6" t="s">
        <v>17</v>
      </c>
    </row>
    <row r="101" spans="2:62" s="6" customFormat="1" ht="18.75" customHeight="1">
      <c r="B101" s="20"/>
      <c r="D101" s="149" t="s">
        <v>122</v>
      </c>
      <c r="E101" s="150"/>
      <c r="F101" s="150"/>
      <c r="G101" s="150"/>
      <c r="H101" s="150"/>
      <c r="N101" s="151">
        <f>ROUNDUP($N$88*$T$101,2)</f>
        <v>0</v>
      </c>
      <c r="O101" s="150"/>
      <c r="P101" s="150"/>
      <c r="Q101" s="150"/>
      <c r="R101" s="21"/>
      <c r="T101" s="95"/>
      <c r="U101" s="96" t="s">
        <v>40</v>
      </c>
      <c r="AY101" s="6" t="s">
        <v>120</v>
      </c>
      <c r="BE101" s="76">
        <f>IF($U$101="základní",$N$101,0)</f>
        <v>0</v>
      </c>
      <c r="BF101" s="76">
        <f>IF($U$101="snížená",$N$101,0)</f>
        <v>0</v>
      </c>
      <c r="BG101" s="76">
        <f>IF($U$101="zákl. přenesená",$N$101,0)</f>
        <v>0</v>
      </c>
      <c r="BH101" s="76">
        <f>IF($U$101="sníž. přenesená",$N$101,0)</f>
        <v>0</v>
      </c>
      <c r="BI101" s="76">
        <f>IF($U$101="nulová",$N$101,0)</f>
        <v>0</v>
      </c>
      <c r="BJ101" s="6" t="s">
        <v>17</v>
      </c>
    </row>
    <row r="102" spans="2:62" s="6" customFormat="1" ht="18.75" customHeight="1">
      <c r="B102" s="20"/>
      <c r="D102" s="149" t="s">
        <v>123</v>
      </c>
      <c r="E102" s="150"/>
      <c r="F102" s="150"/>
      <c r="G102" s="150"/>
      <c r="H102" s="150"/>
      <c r="N102" s="151">
        <f>ROUNDUP($N$88*$T$102,2)</f>
        <v>0</v>
      </c>
      <c r="O102" s="150"/>
      <c r="P102" s="150"/>
      <c r="Q102" s="150"/>
      <c r="R102" s="21"/>
      <c r="T102" s="95"/>
      <c r="U102" s="96" t="s">
        <v>40</v>
      </c>
      <c r="AY102" s="6" t="s">
        <v>120</v>
      </c>
      <c r="BE102" s="76">
        <f>IF($U$102="základní",$N$102,0)</f>
        <v>0</v>
      </c>
      <c r="BF102" s="76">
        <f>IF($U$102="snížená",$N$102,0)</f>
        <v>0</v>
      </c>
      <c r="BG102" s="76">
        <f>IF($U$102="zákl. přenesená",$N$102,0)</f>
        <v>0</v>
      </c>
      <c r="BH102" s="76">
        <f>IF($U$102="sníž. přenesená",$N$102,0)</f>
        <v>0</v>
      </c>
      <c r="BI102" s="76">
        <f>IF($U$102="nulová",$N$102,0)</f>
        <v>0</v>
      </c>
      <c r="BJ102" s="6" t="s">
        <v>17</v>
      </c>
    </row>
    <row r="103" spans="2:62" s="6" customFormat="1" ht="18.75" customHeight="1">
      <c r="B103" s="20"/>
      <c r="D103" s="149" t="s">
        <v>124</v>
      </c>
      <c r="E103" s="150"/>
      <c r="F103" s="150"/>
      <c r="G103" s="150"/>
      <c r="H103" s="150"/>
      <c r="N103" s="151">
        <f>ROUNDUP($N$88*$T$103,2)</f>
        <v>0</v>
      </c>
      <c r="O103" s="150"/>
      <c r="P103" s="150"/>
      <c r="Q103" s="150"/>
      <c r="R103" s="21"/>
      <c r="T103" s="95"/>
      <c r="U103" s="96" t="s">
        <v>40</v>
      </c>
      <c r="AY103" s="6" t="s">
        <v>120</v>
      </c>
      <c r="BE103" s="76">
        <f>IF($U$103="základní",$N$103,0)</f>
        <v>0</v>
      </c>
      <c r="BF103" s="76">
        <f>IF($U$103="snížená",$N$103,0)</f>
        <v>0</v>
      </c>
      <c r="BG103" s="76">
        <f>IF($U$103="zákl. přenesená",$N$103,0)</f>
        <v>0</v>
      </c>
      <c r="BH103" s="76">
        <f>IF($U$103="sníž. přenesená",$N$103,0)</f>
        <v>0</v>
      </c>
      <c r="BI103" s="76">
        <f>IF($U$103="nulová",$N$103,0)</f>
        <v>0</v>
      </c>
      <c r="BJ103" s="6" t="s">
        <v>17</v>
      </c>
    </row>
    <row r="104" spans="2:62" s="6" customFormat="1" ht="18.75" customHeight="1">
      <c r="B104" s="20"/>
      <c r="D104" s="72" t="s">
        <v>125</v>
      </c>
      <c r="N104" s="151">
        <f>ROUNDUP($N$88*$T$104,2)</f>
        <v>0</v>
      </c>
      <c r="O104" s="150"/>
      <c r="P104" s="150"/>
      <c r="Q104" s="150"/>
      <c r="R104" s="21"/>
      <c r="T104" s="97"/>
      <c r="U104" s="98" t="s">
        <v>40</v>
      </c>
      <c r="AY104" s="6" t="s">
        <v>126</v>
      </c>
      <c r="BE104" s="76">
        <f>IF($U$104="základní",$N$104,0)</f>
        <v>0</v>
      </c>
      <c r="BF104" s="76">
        <f>IF($U$104="snížená",$N$104,0)</f>
        <v>0</v>
      </c>
      <c r="BG104" s="76">
        <f>IF($U$104="zákl. přenesená",$N$104,0)</f>
        <v>0</v>
      </c>
      <c r="BH104" s="76">
        <f>IF($U$104="sníž. přenesená",$N$104,0)</f>
        <v>0</v>
      </c>
      <c r="BI104" s="76">
        <f>IF($U$104="nulová",$N$104,0)</f>
        <v>0</v>
      </c>
      <c r="BJ104" s="6" t="s">
        <v>17</v>
      </c>
    </row>
    <row r="105" spans="2:18" s="6" customFormat="1" ht="14.25" customHeight="1">
      <c r="B105" s="20"/>
      <c r="R105" s="21"/>
    </row>
    <row r="106" spans="2:18" s="6" customFormat="1" ht="30" customHeight="1">
      <c r="B106" s="20"/>
      <c r="C106" s="83" t="s">
        <v>99</v>
      </c>
      <c r="D106" s="29"/>
      <c r="E106" s="29"/>
      <c r="F106" s="29"/>
      <c r="G106" s="29"/>
      <c r="H106" s="29"/>
      <c r="I106" s="29"/>
      <c r="J106" s="29"/>
      <c r="K106" s="29"/>
      <c r="L106" s="145">
        <f>ROUNDUP(SUM($N$88+$N$98),2)</f>
        <v>0</v>
      </c>
      <c r="M106" s="146"/>
      <c r="N106" s="146"/>
      <c r="O106" s="146"/>
      <c r="P106" s="146"/>
      <c r="Q106" s="146"/>
      <c r="R106" s="21"/>
    </row>
    <row r="107" spans="2:18" s="6" customFormat="1" ht="7.5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4"/>
    </row>
    <row r="111" spans="2:18" s="6" customFormat="1" ht="7.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pans="2:18" s="6" customFormat="1" ht="37.5" customHeight="1">
      <c r="B112" s="20"/>
      <c r="C112" s="165" t="s">
        <v>127</v>
      </c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21"/>
    </row>
    <row r="113" spans="2:18" s="6" customFormat="1" ht="7.5" customHeight="1">
      <c r="B113" s="20"/>
      <c r="R113" s="21"/>
    </row>
    <row r="114" spans="2:18" s="6" customFormat="1" ht="15" customHeight="1">
      <c r="B114" s="20"/>
      <c r="C114" s="15" t="s">
        <v>14</v>
      </c>
      <c r="F114" s="200" t="str">
        <f>$F$6</f>
        <v>2013-01 - Oprava a sanace opěrné zdi v Karlových Varech</v>
      </c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R114" s="21"/>
    </row>
    <row r="115" spans="2:18" s="6" customFormat="1" ht="15" customHeight="1">
      <c r="B115" s="20"/>
      <c r="C115" s="14" t="s">
        <v>103</v>
      </c>
      <c r="F115" s="166" t="str">
        <f>$F$7</f>
        <v>2013-ksi-05 - Oprava opěrné zdi, na p. p. č. 1814, Jízdárenská ul., K. Vary</v>
      </c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R115" s="21"/>
    </row>
    <row r="116" spans="2:18" s="6" customFormat="1" ht="7.5" customHeight="1">
      <c r="B116" s="20"/>
      <c r="R116" s="21"/>
    </row>
    <row r="117" spans="2:18" s="6" customFormat="1" ht="18.75" customHeight="1">
      <c r="B117" s="20"/>
      <c r="C117" s="15" t="s">
        <v>18</v>
      </c>
      <c r="F117" s="16" t="str">
        <f>$F$9</f>
        <v>Karlovy Vary</v>
      </c>
      <c r="K117" s="15" t="s">
        <v>20</v>
      </c>
      <c r="M117" s="201">
        <f>IF($O$9="","",$O$9)</f>
        <v>41246</v>
      </c>
      <c r="N117" s="150"/>
      <c r="O117" s="150"/>
      <c r="P117" s="150"/>
      <c r="R117" s="21"/>
    </row>
    <row r="118" spans="2:18" s="6" customFormat="1" ht="7.5" customHeight="1">
      <c r="B118" s="20"/>
      <c r="R118" s="21"/>
    </row>
    <row r="119" spans="2:18" s="6" customFormat="1" ht="15.75" customHeight="1">
      <c r="B119" s="20"/>
      <c r="C119" s="15" t="s">
        <v>23</v>
      </c>
      <c r="F119" s="16" t="str">
        <f>$E$12</f>
        <v>Statutární město Karlovy Vary</v>
      </c>
      <c r="K119" s="15" t="s">
        <v>29</v>
      </c>
      <c r="M119" s="167" t="str">
        <f>$E$18</f>
        <v>Kancelář stavebního inženýrství s.r.o.</v>
      </c>
      <c r="N119" s="150"/>
      <c r="O119" s="150"/>
      <c r="P119" s="150"/>
      <c r="Q119" s="150"/>
      <c r="R119" s="21"/>
    </row>
    <row r="120" spans="2:18" s="6" customFormat="1" ht="15" customHeight="1">
      <c r="B120" s="20"/>
      <c r="C120" s="15" t="s">
        <v>27</v>
      </c>
      <c r="F120" s="16" t="str">
        <f>IF($E$15="","",$E$15)</f>
        <v>Vyplň údaj</v>
      </c>
      <c r="K120" s="15" t="s">
        <v>34</v>
      </c>
      <c r="M120" s="167" t="str">
        <f>$E$21</f>
        <v>D. Kryštovová</v>
      </c>
      <c r="N120" s="150"/>
      <c r="O120" s="150"/>
      <c r="P120" s="150"/>
      <c r="Q120" s="150"/>
      <c r="R120" s="21"/>
    </row>
    <row r="121" spans="2:18" s="6" customFormat="1" ht="11.25" customHeight="1">
      <c r="B121" s="20"/>
      <c r="R121" s="21"/>
    </row>
    <row r="122" spans="2:27" s="99" customFormat="1" ht="30" customHeight="1">
      <c r="B122" s="100"/>
      <c r="C122" s="101" t="s">
        <v>128</v>
      </c>
      <c r="D122" s="102" t="s">
        <v>129</v>
      </c>
      <c r="E122" s="102" t="s">
        <v>57</v>
      </c>
      <c r="F122" s="197" t="s">
        <v>130</v>
      </c>
      <c r="G122" s="198"/>
      <c r="H122" s="198"/>
      <c r="I122" s="198"/>
      <c r="J122" s="102" t="s">
        <v>131</v>
      </c>
      <c r="K122" s="102" t="s">
        <v>132</v>
      </c>
      <c r="L122" s="197" t="s">
        <v>133</v>
      </c>
      <c r="M122" s="198"/>
      <c r="N122" s="197" t="s">
        <v>134</v>
      </c>
      <c r="O122" s="198"/>
      <c r="P122" s="198"/>
      <c r="Q122" s="199"/>
      <c r="R122" s="103"/>
      <c r="T122" s="53" t="s">
        <v>135</v>
      </c>
      <c r="U122" s="54" t="s">
        <v>39</v>
      </c>
      <c r="V122" s="54" t="s">
        <v>136</v>
      </c>
      <c r="W122" s="54" t="s">
        <v>137</v>
      </c>
      <c r="X122" s="54" t="s">
        <v>138</v>
      </c>
      <c r="Y122" s="54" t="s">
        <v>139</v>
      </c>
      <c r="Z122" s="54" t="s">
        <v>140</v>
      </c>
      <c r="AA122" s="55" t="s">
        <v>141</v>
      </c>
    </row>
    <row r="123" spans="2:63" s="6" customFormat="1" ht="30" customHeight="1">
      <c r="B123" s="20"/>
      <c r="C123" s="58" t="s">
        <v>104</v>
      </c>
      <c r="N123" s="186">
        <f>$BK$123</f>
        <v>0</v>
      </c>
      <c r="O123" s="150"/>
      <c r="P123" s="150"/>
      <c r="Q123" s="150"/>
      <c r="R123" s="21"/>
      <c r="T123" s="57"/>
      <c r="U123" s="34"/>
      <c r="V123" s="34"/>
      <c r="W123" s="104">
        <f>$W$124+$W$193</f>
        <v>464.818903</v>
      </c>
      <c r="X123" s="34"/>
      <c r="Y123" s="104">
        <f>$Y$124+$Y$193</f>
        <v>19.00691476</v>
      </c>
      <c r="Z123" s="34"/>
      <c r="AA123" s="105">
        <f>$AA$124+$AA$193</f>
        <v>7.673226400000001</v>
      </c>
      <c r="AT123" s="6" t="s">
        <v>74</v>
      </c>
      <c r="AU123" s="6" t="s">
        <v>109</v>
      </c>
      <c r="BK123" s="106">
        <f>$BK$124+$BK$193</f>
        <v>0</v>
      </c>
    </row>
    <row r="124" spans="2:63" s="107" customFormat="1" ht="37.5" customHeight="1">
      <c r="B124" s="108"/>
      <c r="D124" s="109" t="s">
        <v>110</v>
      </c>
      <c r="N124" s="187">
        <f>$BK$124</f>
        <v>0</v>
      </c>
      <c r="O124" s="188"/>
      <c r="P124" s="188"/>
      <c r="Q124" s="188"/>
      <c r="R124" s="111"/>
      <c r="T124" s="112"/>
      <c r="W124" s="113">
        <f>$W$125+$W$134+$W$140+$W$158+$W$161</f>
        <v>464.818903</v>
      </c>
      <c r="Y124" s="113">
        <f>$Y$125+$Y$134+$Y$140+$Y$158+$Y$161</f>
        <v>19.00691476</v>
      </c>
      <c r="AA124" s="114">
        <f>$AA$125+$AA$134+$AA$140+$AA$158+$AA$161</f>
        <v>7.673226400000001</v>
      </c>
      <c r="AR124" s="110" t="s">
        <v>17</v>
      </c>
      <c r="AT124" s="110" t="s">
        <v>74</v>
      </c>
      <c r="AU124" s="110" t="s">
        <v>75</v>
      </c>
      <c r="AY124" s="110" t="s">
        <v>142</v>
      </c>
      <c r="BK124" s="115">
        <f>$BK$125+$BK$134+$BK$140+$BK$158+$BK$161</f>
        <v>0</v>
      </c>
    </row>
    <row r="125" spans="2:63" s="107" customFormat="1" ht="21" customHeight="1">
      <c r="B125" s="108"/>
      <c r="D125" s="116" t="s">
        <v>111</v>
      </c>
      <c r="N125" s="189">
        <f>$BK$125</f>
        <v>0</v>
      </c>
      <c r="O125" s="188"/>
      <c r="P125" s="188"/>
      <c r="Q125" s="188"/>
      <c r="R125" s="111"/>
      <c r="T125" s="112"/>
      <c r="W125" s="113">
        <f>SUM($W$126:$W$133)</f>
        <v>27.6144</v>
      </c>
      <c r="Y125" s="113">
        <f>SUM($Y$126:$Y$133)</f>
        <v>0</v>
      </c>
      <c r="AA125" s="114">
        <f>SUM($AA$126:$AA$133)</f>
        <v>0</v>
      </c>
      <c r="AR125" s="110" t="s">
        <v>17</v>
      </c>
      <c r="AT125" s="110" t="s">
        <v>74</v>
      </c>
      <c r="AU125" s="110" t="s">
        <v>17</v>
      </c>
      <c r="AY125" s="110" t="s">
        <v>142</v>
      </c>
      <c r="BK125" s="115">
        <f>SUM($BK$126:$BK$133)</f>
        <v>0</v>
      </c>
    </row>
    <row r="126" spans="2:64" s="6" customFormat="1" ht="27" customHeight="1">
      <c r="B126" s="20"/>
      <c r="C126" s="117" t="s">
        <v>17</v>
      </c>
      <c r="D126" s="117" t="s">
        <v>143</v>
      </c>
      <c r="E126" s="118" t="s">
        <v>144</v>
      </c>
      <c r="F126" s="190" t="s">
        <v>145</v>
      </c>
      <c r="G126" s="184"/>
      <c r="H126" s="184"/>
      <c r="I126" s="184"/>
      <c r="J126" s="119" t="s">
        <v>146</v>
      </c>
      <c r="K126" s="120">
        <v>2</v>
      </c>
      <c r="L126" s="183">
        <v>0</v>
      </c>
      <c r="M126" s="184"/>
      <c r="N126" s="185">
        <f>ROUND($L$126*$K$126,2)</f>
        <v>0</v>
      </c>
      <c r="O126" s="184"/>
      <c r="P126" s="184"/>
      <c r="Q126" s="184"/>
      <c r="R126" s="21"/>
      <c r="T126" s="121"/>
      <c r="U126" s="27" t="s">
        <v>40</v>
      </c>
      <c r="V126" s="122">
        <v>3.177</v>
      </c>
      <c r="W126" s="122">
        <f>$V$126*$K$126</f>
        <v>6.354</v>
      </c>
      <c r="X126" s="122">
        <v>0</v>
      </c>
      <c r="Y126" s="122">
        <f>$X$126*$K$126</f>
        <v>0</v>
      </c>
      <c r="Z126" s="122">
        <v>0</v>
      </c>
      <c r="AA126" s="123">
        <f>$Z$126*$K$126</f>
        <v>0</v>
      </c>
      <c r="AR126" s="6" t="s">
        <v>147</v>
      </c>
      <c r="AT126" s="6" t="s">
        <v>143</v>
      </c>
      <c r="AU126" s="6" t="s">
        <v>101</v>
      </c>
      <c r="AY126" s="6" t="s">
        <v>142</v>
      </c>
      <c r="BE126" s="76">
        <f>IF($U$126="základní",$N$126,0)</f>
        <v>0</v>
      </c>
      <c r="BF126" s="76">
        <f>IF($U$126="snížená",$N$126,0)</f>
        <v>0</v>
      </c>
      <c r="BG126" s="76">
        <f>IF($U$126="zákl. přenesená",$N$126,0)</f>
        <v>0</v>
      </c>
      <c r="BH126" s="76">
        <f>IF($U$126="sníž. přenesená",$N$126,0)</f>
        <v>0</v>
      </c>
      <c r="BI126" s="76">
        <f>IF($U$126="nulová",$N$126,0)</f>
        <v>0</v>
      </c>
      <c r="BJ126" s="6" t="s">
        <v>17</v>
      </c>
      <c r="BK126" s="76">
        <f>ROUND($L$126*$K$126,2)</f>
        <v>0</v>
      </c>
      <c r="BL126" s="6" t="s">
        <v>147</v>
      </c>
    </row>
    <row r="127" spans="2:64" s="6" customFormat="1" ht="27" customHeight="1">
      <c r="B127" s="20"/>
      <c r="C127" s="117" t="s">
        <v>101</v>
      </c>
      <c r="D127" s="117" t="s">
        <v>143</v>
      </c>
      <c r="E127" s="118" t="s">
        <v>148</v>
      </c>
      <c r="F127" s="190" t="s">
        <v>149</v>
      </c>
      <c r="G127" s="184"/>
      <c r="H127" s="184"/>
      <c r="I127" s="184"/>
      <c r="J127" s="119" t="s">
        <v>146</v>
      </c>
      <c r="K127" s="120">
        <v>2</v>
      </c>
      <c r="L127" s="183">
        <v>0</v>
      </c>
      <c r="M127" s="184"/>
      <c r="N127" s="185">
        <f>ROUND($L$127*$K$127,2)</f>
        <v>0</v>
      </c>
      <c r="O127" s="184"/>
      <c r="P127" s="184"/>
      <c r="Q127" s="184"/>
      <c r="R127" s="21"/>
      <c r="T127" s="121"/>
      <c r="U127" s="27" t="s">
        <v>40</v>
      </c>
      <c r="V127" s="122">
        <v>7.371</v>
      </c>
      <c r="W127" s="122">
        <f>$V$127*$K$127</f>
        <v>14.742</v>
      </c>
      <c r="X127" s="122">
        <v>0</v>
      </c>
      <c r="Y127" s="122">
        <f>$X$127*$K$127</f>
        <v>0</v>
      </c>
      <c r="Z127" s="122">
        <v>0</v>
      </c>
      <c r="AA127" s="123">
        <f>$Z$127*$K$127</f>
        <v>0</v>
      </c>
      <c r="AR127" s="6" t="s">
        <v>147</v>
      </c>
      <c r="AT127" s="6" t="s">
        <v>143</v>
      </c>
      <c r="AU127" s="6" t="s">
        <v>101</v>
      </c>
      <c r="AY127" s="6" t="s">
        <v>142</v>
      </c>
      <c r="BE127" s="76">
        <f>IF($U$127="základní",$N$127,0)</f>
        <v>0</v>
      </c>
      <c r="BF127" s="76">
        <f>IF($U$127="snížená",$N$127,0)</f>
        <v>0</v>
      </c>
      <c r="BG127" s="76">
        <f>IF($U$127="zákl. přenesená",$N$127,0)</f>
        <v>0</v>
      </c>
      <c r="BH127" s="76">
        <f>IF($U$127="sníž. přenesená",$N$127,0)</f>
        <v>0</v>
      </c>
      <c r="BI127" s="76">
        <f>IF($U$127="nulová",$N$127,0)</f>
        <v>0</v>
      </c>
      <c r="BJ127" s="6" t="s">
        <v>17</v>
      </c>
      <c r="BK127" s="76">
        <f>ROUND($L$127*$K$127,2)</f>
        <v>0</v>
      </c>
      <c r="BL127" s="6" t="s">
        <v>147</v>
      </c>
    </row>
    <row r="128" spans="2:64" s="6" customFormat="1" ht="27" customHeight="1">
      <c r="B128" s="20"/>
      <c r="C128" s="117" t="s">
        <v>150</v>
      </c>
      <c r="D128" s="117" t="s">
        <v>143</v>
      </c>
      <c r="E128" s="118" t="s">
        <v>151</v>
      </c>
      <c r="F128" s="190" t="s">
        <v>152</v>
      </c>
      <c r="G128" s="184"/>
      <c r="H128" s="184"/>
      <c r="I128" s="184"/>
      <c r="J128" s="119" t="s">
        <v>153</v>
      </c>
      <c r="K128" s="120">
        <v>1.2</v>
      </c>
      <c r="L128" s="183">
        <v>0</v>
      </c>
      <c r="M128" s="184"/>
      <c r="N128" s="185">
        <f>ROUND($L$128*$K$128,2)</f>
        <v>0</v>
      </c>
      <c r="O128" s="184"/>
      <c r="P128" s="184"/>
      <c r="Q128" s="184"/>
      <c r="R128" s="21"/>
      <c r="T128" s="121"/>
      <c r="U128" s="27" t="s">
        <v>40</v>
      </c>
      <c r="V128" s="122">
        <v>2.156</v>
      </c>
      <c r="W128" s="122">
        <f>$V$128*$K$128</f>
        <v>2.5872</v>
      </c>
      <c r="X128" s="122">
        <v>0</v>
      </c>
      <c r="Y128" s="122">
        <f>$X$128*$K$128</f>
        <v>0</v>
      </c>
      <c r="Z128" s="122">
        <v>0</v>
      </c>
      <c r="AA128" s="123">
        <f>$Z$128*$K$128</f>
        <v>0</v>
      </c>
      <c r="AR128" s="6" t="s">
        <v>147</v>
      </c>
      <c r="AT128" s="6" t="s">
        <v>143</v>
      </c>
      <c r="AU128" s="6" t="s">
        <v>101</v>
      </c>
      <c r="AY128" s="6" t="s">
        <v>142</v>
      </c>
      <c r="BE128" s="76">
        <f>IF($U$128="základní",$N$128,0)</f>
        <v>0</v>
      </c>
      <c r="BF128" s="76">
        <f>IF($U$128="snížená",$N$128,0)</f>
        <v>0</v>
      </c>
      <c r="BG128" s="76">
        <f>IF($U$128="zákl. přenesená",$N$128,0)</f>
        <v>0</v>
      </c>
      <c r="BH128" s="76">
        <f>IF($U$128="sníž. přenesená",$N$128,0)</f>
        <v>0</v>
      </c>
      <c r="BI128" s="76">
        <f>IF($U$128="nulová",$N$128,0)</f>
        <v>0</v>
      </c>
      <c r="BJ128" s="6" t="s">
        <v>17</v>
      </c>
      <c r="BK128" s="76">
        <f>ROUND($L$128*$K$128,2)</f>
        <v>0</v>
      </c>
      <c r="BL128" s="6" t="s">
        <v>147</v>
      </c>
    </row>
    <row r="129" spans="2:51" s="6" customFormat="1" ht="15.75" customHeight="1">
      <c r="B129" s="124"/>
      <c r="E129" s="125"/>
      <c r="F129" s="191" t="s">
        <v>154</v>
      </c>
      <c r="G129" s="192"/>
      <c r="H129" s="192"/>
      <c r="I129" s="192"/>
      <c r="K129" s="126">
        <v>1.2</v>
      </c>
      <c r="R129" s="127"/>
      <c r="T129" s="128"/>
      <c r="AA129" s="129"/>
      <c r="AT129" s="125" t="s">
        <v>155</v>
      </c>
      <c r="AU129" s="125" t="s">
        <v>101</v>
      </c>
      <c r="AV129" s="125" t="s">
        <v>101</v>
      </c>
      <c r="AW129" s="125" t="s">
        <v>109</v>
      </c>
      <c r="AX129" s="125" t="s">
        <v>75</v>
      </c>
      <c r="AY129" s="125" t="s">
        <v>142</v>
      </c>
    </row>
    <row r="130" spans="2:64" s="6" customFormat="1" ht="27" customHeight="1">
      <c r="B130" s="20"/>
      <c r="C130" s="117" t="s">
        <v>156</v>
      </c>
      <c r="D130" s="117" t="s">
        <v>143</v>
      </c>
      <c r="E130" s="118" t="s">
        <v>157</v>
      </c>
      <c r="F130" s="190" t="s">
        <v>158</v>
      </c>
      <c r="G130" s="184"/>
      <c r="H130" s="184"/>
      <c r="I130" s="184"/>
      <c r="J130" s="119" t="s">
        <v>153</v>
      </c>
      <c r="K130" s="120">
        <v>1.2</v>
      </c>
      <c r="L130" s="183">
        <v>0</v>
      </c>
      <c r="M130" s="184"/>
      <c r="N130" s="185">
        <f>ROUND($L$130*$K$130,2)</f>
        <v>0</v>
      </c>
      <c r="O130" s="184"/>
      <c r="P130" s="184"/>
      <c r="Q130" s="184"/>
      <c r="R130" s="21"/>
      <c r="T130" s="121"/>
      <c r="U130" s="27" t="s">
        <v>40</v>
      </c>
      <c r="V130" s="122">
        <v>0.152</v>
      </c>
      <c r="W130" s="122">
        <f>$V$130*$K$130</f>
        <v>0.18239999999999998</v>
      </c>
      <c r="X130" s="122">
        <v>0</v>
      </c>
      <c r="Y130" s="122">
        <f>$X$130*$K$130</f>
        <v>0</v>
      </c>
      <c r="Z130" s="122">
        <v>0</v>
      </c>
      <c r="AA130" s="123">
        <f>$Z$130*$K$130</f>
        <v>0</v>
      </c>
      <c r="AR130" s="6" t="s">
        <v>147</v>
      </c>
      <c r="AT130" s="6" t="s">
        <v>143</v>
      </c>
      <c r="AU130" s="6" t="s">
        <v>101</v>
      </c>
      <c r="AY130" s="6" t="s">
        <v>142</v>
      </c>
      <c r="BE130" s="76">
        <f>IF($U$130="základní",$N$130,0)</f>
        <v>0</v>
      </c>
      <c r="BF130" s="76">
        <f>IF($U$130="snížená",$N$130,0)</f>
        <v>0</v>
      </c>
      <c r="BG130" s="76">
        <f>IF($U$130="zákl. přenesená",$N$130,0)</f>
        <v>0</v>
      </c>
      <c r="BH130" s="76">
        <f>IF($U$130="sníž. přenesená",$N$130,0)</f>
        <v>0</v>
      </c>
      <c r="BI130" s="76">
        <f>IF($U$130="nulová",$N$130,0)</f>
        <v>0</v>
      </c>
      <c r="BJ130" s="6" t="s">
        <v>17</v>
      </c>
      <c r="BK130" s="76">
        <f>ROUND($L$130*$K$130,2)</f>
        <v>0</v>
      </c>
      <c r="BL130" s="6" t="s">
        <v>147</v>
      </c>
    </row>
    <row r="131" spans="2:64" s="6" customFormat="1" ht="27" customHeight="1">
      <c r="B131" s="20"/>
      <c r="C131" s="117" t="s">
        <v>159</v>
      </c>
      <c r="D131" s="117" t="s">
        <v>143</v>
      </c>
      <c r="E131" s="118" t="s">
        <v>160</v>
      </c>
      <c r="F131" s="190" t="s">
        <v>161</v>
      </c>
      <c r="G131" s="184"/>
      <c r="H131" s="184"/>
      <c r="I131" s="184"/>
      <c r="J131" s="119" t="s">
        <v>146</v>
      </c>
      <c r="K131" s="120">
        <v>2</v>
      </c>
      <c r="L131" s="183">
        <v>0</v>
      </c>
      <c r="M131" s="184"/>
      <c r="N131" s="185">
        <f>ROUND($L$131*$K$131,2)</f>
        <v>0</v>
      </c>
      <c r="O131" s="184"/>
      <c r="P131" s="184"/>
      <c r="Q131" s="184"/>
      <c r="R131" s="21"/>
      <c r="T131" s="121"/>
      <c r="U131" s="27" t="s">
        <v>40</v>
      </c>
      <c r="V131" s="122">
        <v>1.243</v>
      </c>
      <c r="W131" s="122">
        <f>$V$131*$K$131</f>
        <v>2.486</v>
      </c>
      <c r="X131" s="122">
        <v>0</v>
      </c>
      <c r="Y131" s="122">
        <f>$X$131*$K$131</f>
        <v>0</v>
      </c>
      <c r="Z131" s="122">
        <v>0</v>
      </c>
      <c r="AA131" s="123">
        <f>$Z$131*$K$131</f>
        <v>0</v>
      </c>
      <c r="AR131" s="6" t="s">
        <v>147</v>
      </c>
      <c r="AT131" s="6" t="s">
        <v>143</v>
      </c>
      <c r="AU131" s="6" t="s">
        <v>101</v>
      </c>
      <c r="AY131" s="6" t="s">
        <v>142</v>
      </c>
      <c r="BE131" s="76">
        <f>IF($U$131="základní",$N$131,0)</f>
        <v>0</v>
      </c>
      <c r="BF131" s="76">
        <f>IF($U$131="snížená",$N$131,0)</f>
        <v>0</v>
      </c>
      <c r="BG131" s="76">
        <f>IF($U$131="zákl. přenesená",$N$131,0)</f>
        <v>0</v>
      </c>
      <c r="BH131" s="76">
        <f>IF($U$131="sníž. přenesená",$N$131,0)</f>
        <v>0</v>
      </c>
      <c r="BI131" s="76">
        <f>IF($U$131="nulová",$N$131,0)</f>
        <v>0</v>
      </c>
      <c r="BJ131" s="6" t="s">
        <v>17</v>
      </c>
      <c r="BK131" s="76">
        <f>ROUND($L$131*$K$131,2)</f>
        <v>0</v>
      </c>
      <c r="BL131" s="6" t="s">
        <v>147</v>
      </c>
    </row>
    <row r="132" spans="2:64" s="6" customFormat="1" ht="27" customHeight="1">
      <c r="B132" s="20"/>
      <c r="C132" s="117" t="s">
        <v>147</v>
      </c>
      <c r="D132" s="117" t="s">
        <v>143</v>
      </c>
      <c r="E132" s="118" t="s">
        <v>162</v>
      </c>
      <c r="F132" s="190" t="s">
        <v>163</v>
      </c>
      <c r="G132" s="184"/>
      <c r="H132" s="184"/>
      <c r="I132" s="184"/>
      <c r="J132" s="119" t="s">
        <v>146</v>
      </c>
      <c r="K132" s="120">
        <v>2</v>
      </c>
      <c r="L132" s="183">
        <v>0</v>
      </c>
      <c r="M132" s="184"/>
      <c r="N132" s="185">
        <f>ROUND($L$132*$K$132,2)</f>
        <v>0</v>
      </c>
      <c r="O132" s="184"/>
      <c r="P132" s="184"/>
      <c r="Q132" s="184"/>
      <c r="R132" s="21"/>
      <c r="T132" s="121"/>
      <c r="U132" s="27" t="s">
        <v>40</v>
      </c>
      <c r="V132" s="122">
        <v>0.452</v>
      </c>
      <c r="W132" s="122">
        <f>$V$132*$K$132</f>
        <v>0.904</v>
      </c>
      <c r="X132" s="122">
        <v>0</v>
      </c>
      <c r="Y132" s="122">
        <f>$X$132*$K$132</f>
        <v>0</v>
      </c>
      <c r="Z132" s="122">
        <v>0</v>
      </c>
      <c r="AA132" s="123">
        <f>$Z$132*$K$132</f>
        <v>0</v>
      </c>
      <c r="AR132" s="6" t="s">
        <v>147</v>
      </c>
      <c r="AT132" s="6" t="s">
        <v>143</v>
      </c>
      <c r="AU132" s="6" t="s">
        <v>101</v>
      </c>
      <c r="AY132" s="6" t="s">
        <v>142</v>
      </c>
      <c r="BE132" s="76">
        <f>IF($U$132="základní",$N$132,0)</f>
        <v>0</v>
      </c>
      <c r="BF132" s="76">
        <f>IF($U$132="snížená",$N$132,0)</f>
        <v>0</v>
      </c>
      <c r="BG132" s="76">
        <f>IF($U$132="zákl. přenesená",$N$132,0)</f>
        <v>0</v>
      </c>
      <c r="BH132" s="76">
        <f>IF($U$132="sníž. přenesená",$N$132,0)</f>
        <v>0</v>
      </c>
      <c r="BI132" s="76">
        <f>IF($U$132="nulová",$N$132,0)</f>
        <v>0</v>
      </c>
      <c r="BJ132" s="6" t="s">
        <v>17</v>
      </c>
      <c r="BK132" s="76">
        <f>ROUND($L$132*$K$132,2)</f>
        <v>0</v>
      </c>
      <c r="BL132" s="6" t="s">
        <v>147</v>
      </c>
    </row>
    <row r="133" spans="2:64" s="6" customFormat="1" ht="27" customHeight="1">
      <c r="B133" s="20"/>
      <c r="C133" s="117" t="s">
        <v>164</v>
      </c>
      <c r="D133" s="117" t="s">
        <v>143</v>
      </c>
      <c r="E133" s="118" t="s">
        <v>165</v>
      </c>
      <c r="F133" s="190" t="s">
        <v>166</v>
      </c>
      <c r="G133" s="184"/>
      <c r="H133" s="184"/>
      <c r="I133" s="184"/>
      <c r="J133" s="119" t="s">
        <v>153</v>
      </c>
      <c r="K133" s="120">
        <v>1.2</v>
      </c>
      <c r="L133" s="183">
        <v>0</v>
      </c>
      <c r="M133" s="184"/>
      <c r="N133" s="185">
        <f>ROUND($L$133*$K$133,2)</f>
        <v>0</v>
      </c>
      <c r="O133" s="184"/>
      <c r="P133" s="184"/>
      <c r="Q133" s="184"/>
      <c r="R133" s="21"/>
      <c r="T133" s="121"/>
      <c r="U133" s="27" t="s">
        <v>40</v>
      </c>
      <c r="V133" s="122">
        <v>0.299</v>
      </c>
      <c r="W133" s="122">
        <f>$V$133*$K$133</f>
        <v>0.35879999999999995</v>
      </c>
      <c r="X133" s="122">
        <v>0</v>
      </c>
      <c r="Y133" s="122">
        <f>$X$133*$K$133</f>
        <v>0</v>
      </c>
      <c r="Z133" s="122">
        <v>0</v>
      </c>
      <c r="AA133" s="123">
        <f>$Z$133*$K$133</f>
        <v>0</v>
      </c>
      <c r="AR133" s="6" t="s">
        <v>147</v>
      </c>
      <c r="AT133" s="6" t="s">
        <v>143</v>
      </c>
      <c r="AU133" s="6" t="s">
        <v>101</v>
      </c>
      <c r="AY133" s="6" t="s">
        <v>142</v>
      </c>
      <c r="BE133" s="76">
        <f>IF($U$133="základní",$N$133,0)</f>
        <v>0</v>
      </c>
      <c r="BF133" s="76">
        <f>IF($U$133="snížená",$N$133,0)</f>
        <v>0</v>
      </c>
      <c r="BG133" s="76">
        <f>IF($U$133="zákl. přenesená",$N$133,0)</f>
        <v>0</v>
      </c>
      <c r="BH133" s="76">
        <f>IF($U$133="sníž. přenesená",$N$133,0)</f>
        <v>0</v>
      </c>
      <c r="BI133" s="76">
        <f>IF($U$133="nulová",$N$133,0)</f>
        <v>0</v>
      </c>
      <c r="BJ133" s="6" t="s">
        <v>17</v>
      </c>
      <c r="BK133" s="76">
        <f>ROUND($L$133*$K$133,2)</f>
        <v>0</v>
      </c>
      <c r="BL133" s="6" t="s">
        <v>147</v>
      </c>
    </row>
    <row r="134" spans="2:63" s="107" customFormat="1" ht="30.75" customHeight="1">
      <c r="B134" s="108"/>
      <c r="D134" s="116" t="s">
        <v>112</v>
      </c>
      <c r="N134" s="189">
        <f>$BK$134</f>
        <v>0</v>
      </c>
      <c r="O134" s="188"/>
      <c r="P134" s="188"/>
      <c r="Q134" s="188"/>
      <c r="R134" s="111"/>
      <c r="T134" s="112"/>
      <c r="W134" s="113">
        <f>SUM($W$135:$W$139)</f>
        <v>1.38696</v>
      </c>
      <c r="Y134" s="113">
        <f>SUM($Y$135:$Y$139)</f>
        <v>1.0815076</v>
      </c>
      <c r="AA134" s="114">
        <f>SUM($AA$135:$AA$139)</f>
        <v>0</v>
      </c>
      <c r="AR134" s="110" t="s">
        <v>17</v>
      </c>
      <c r="AT134" s="110" t="s">
        <v>74</v>
      </c>
      <c r="AU134" s="110" t="s">
        <v>17</v>
      </c>
      <c r="AY134" s="110" t="s">
        <v>142</v>
      </c>
      <c r="BK134" s="115">
        <f>SUM($BK$135:$BK$139)</f>
        <v>0</v>
      </c>
    </row>
    <row r="135" spans="2:64" s="6" customFormat="1" ht="15.75" customHeight="1">
      <c r="B135" s="20"/>
      <c r="C135" s="117" t="s">
        <v>167</v>
      </c>
      <c r="D135" s="117" t="s">
        <v>143</v>
      </c>
      <c r="E135" s="118" t="s">
        <v>168</v>
      </c>
      <c r="F135" s="190" t="s">
        <v>169</v>
      </c>
      <c r="G135" s="184"/>
      <c r="H135" s="184"/>
      <c r="I135" s="184"/>
      <c r="J135" s="119" t="s">
        <v>153</v>
      </c>
      <c r="K135" s="120">
        <v>0.44</v>
      </c>
      <c r="L135" s="183">
        <v>0</v>
      </c>
      <c r="M135" s="184"/>
      <c r="N135" s="185">
        <f>ROUND($L$135*$K$135,2)</f>
        <v>0</v>
      </c>
      <c r="O135" s="184"/>
      <c r="P135" s="184"/>
      <c r="Q135" s="184"/>
      <c r="R135" s="21"/>
      <c r="T135" s="121"/>
      <c r="U135" s="27" t="s">
        <v>40</v>
      </c>
      <c r="V135" s="122">
        <v>0.584</v>
      </c>
      <c r="W135" s="122">
        <f>$V$135*$K$135</f>
        <v>0.25695999999999997</v>
      </c>
      <c r="X135" s="122">
        <v>2.45329</v>
      </c>
      <c r="Y135" s="122">
        <f>$X$135*$K$135</f>
        <v>1.0794476</v>
      </c>
      <c r="Z135" s="122">
        <v>0</v>
      </c>
      <c r="AA135" s="123">
        <f>$Z$135*$K$135</f>
        <v>0</v>
      </c>
      <c r="AR135" s="6" t="s">
        <v>147</v>
      </c>
      <c r="AT135" s="6" t="s">
        <v>143</v>
      </c>
      <c r="AU135" s="6" t="s">
        <v>101</v>
      </c>
      <c r="AY135" s="6" t="s">
        <v>142</v>
      </c>
      <c r="BE135" s="76">
        <f>IF($U$135="základní",$N$135,0)</f>
        <v>0</v>
      </c>
      <c r="BF135" s="76">
        <f>IF($U$135="snížená",$N$135,0)</f>
        <v>0</v>
      </c>
      <c r="BG135" s="76">
        <f>IF($U$135="zákl. přenesená",$N$135,0)</f>
        <v>0</v>
      </c>
      <c r="BH135" s="76">
        <f>IF($U$135="sníž. přenesená",$N$135,0)</f>
        <v>0</v>
      </c>
      <c r="BI135" s="76">
        <f>IF($U$135="nulová",$N$135,0)</f>
        <v>0</v>
      </c>
      <c r="BJ135" s="6" t="s">
        <v>17</v>
      </c>
      <c r="BK135" s="76">
        <f>ROUND($L$135*$K$135,2)</f>
        <v>0</v>
      </c>
      <c r="BL135" s="6" t="s">
        <v>147</v>
      </c>
    </row>
    <row r="136" spans="2:51" s="6" customFormat="1" ht="15.75" customHeight="1">
      <c r="B136" s="124"/>
      <c r="E136" s="125"/>
      <c r="F136" s="191" t="s">
        <v>170</v>
      </c>
      <c r="G136" s="192"/>
      <c r="H136" s="192"/>
      <c r="I136" s="192"/>
      <c r="K136" s="126">
        <v>0.44</v>
      </c>
      <c r="R136" s="127"/>
      <c r="T136" s="128"/>
      <c r="AA136" s="129"/>
      <c r="AT136" s="125" t="s">
        <v>155</v>
      </c>
      <c r="AU136" s="125" t="s">
        <v>101</v>
      </c>
      <c r="AV136" s="125" t="s">
        <v>101</v>
      </c>
      <c r="AW136" s="125" t="s">
        <v>109</v>
      </c>
      <c r="AX136" s="125" t="s">
        <v>75</v>
      </c>
      <c r="AY136" s="125" t="s">
        <v>142</v>
      </c>
    </row>
    <row r="137" spans="2:64" s="6" customFormat="1" ht="15.75" customHeight="1">
      <c r="B137" s="20"/>
      <c r="C137" s="117" t="s">
        <v>171</v>
      </c>
      <c r="D137" s="117" t="s">
        <v>143</v>
      </c>
      <c r="E137" s="118" t="s">
        <v>172</v>
      </c>
      <c r="F137" s="190" t="s">
        <v>173</v>
      </c>
      <c r="G137" s="184"/>
      <c r="H137" s="184"/>
      <c r="I137" s="184"/>
      <c r="J137" s="119" t="s">
        <v>174</v>
      </c>
      <c r="K137" s="120">
        <v>2</v>
      </c>
      <c r="L137" s="183">
        <v>0</v>
      </c>
      <c r="M137" s="184"/>
      <c r="N137" s="185">
        <f>ROUND($L$137*$K$137,2)</f>
        <v>0</v>
      </c>
      <c r="O137" s="184"/>
      <c r="P137" s="184"/>
      <c r="Q137" s="184"/>
      <c r="R137" s="21"/>
      <c r="T137" s="121"/>
      <c r="U137" s="27" t="s">
        <v>40</v>
      </c>
      <c r="V137" s="122">
        <v>0.364</v>
      </c>
      <c r="W137" s="122">
        <f>$V$137*$K$137</f>
        <v>0.728</v>
      </c>
      <c r="X137" s="122">
        <v>0.00103</v>
      </c>
      <c r="Y137" s="122">
        <f>$X$137*$K$137</f>
        <v>0.00206</v>
      </c>
      <c r="Z137" s="122">
        <v>0</v>
      </c>
      <c r="AA137" s="123">
        <f>$Z$137*$K$137</f>
        <v>0</v>
      </c>
      <c r="AR137" s="6" t="s">
        <v>147</v>
      </c>
      <c r="AT137" s="6" t="s">
        <v>143</v>
      </c>
      <c r="AU137" s="6" t="s">
        <v>101</v>
      </c>
      <c r="AY137" s="6" t="s">
        <v>142</v>
      </c>
      <c r="BE137" s="76">
        <f>IF($U$137="základní",$N$137,0)</f>
        <v>0</v>
      </c>
      <c r="BF137" s="76">
        <f>IF($U$137="snížená",$N$137,0)</f>
        <v>0</v>
      </c>
      <c r="BG137" s="76">
        <f>IF($U$137="zákl. přenesená",$N$137,0)</f>
        <v>0</v>
      </c>
      <c r="BH137" s="76">
        <f>IF($U$137="sníž. přenesená",$N$137,0)</f>
        <v>0</v>
      </c>
      <c r="BI137" s="76">
        <f>IF($U$137="nulová",$N$137,0)</f>
        <v>0</v>
      </c>
      <c r="BJ137" s="6" t="s">
        <v>17</v>
      </c>
      <c r="BK137" s="76">
        <f>ROUND($L$137*$K$137,2)</f>
        <v>0</v>
      </c>
      <c r="BL137" s="6" t="s">
        <v>147</v>
      </c>
    </row>
    <row r="138" spans="2:51" s="6" customFormat="1" ht="15.75" customHeight="1">
      <c r="B138" s="124"/>
      <c r="E138" s="125"/>
      <c r="F138" s="191" t="s">
        <v>175</v>
      </c>
      <c r="G138" s="192"/>
      <c r="H138" s="192"/>
      <c r="I138" s="192"/>
      <c r="K138" s="126">
        <v>2</v>
      </c>
      <c r="R138" s="127"/>
      <c r="T138" s="128"/>
      <c r="AA138" s="129"/>
      <c r="AT138" s="125" t="s">
        <v>155</v>
      </c>
      <c r="AU138" s="125" t="s">
        <v>101</v>
      </c>
      <c r="AV138" s="125" t="s">
        <v>101</v>
      </c>
      <c r="AW138" s="125" t="s">
        <v>109</v>
      </c>
      <c r="AX138" s="125" t="s">
        <v>75</v>
      </c>
      <c r="AY138" s="125" t="s">
        <v>142</v>
      </c>
    </row>
    <row r="139" spans="2:64" s="6" customFormat="1" ht="15.75" customHeight="1">
      <c r="B139" s="20"/>
      <c r="C139" s="117" t="s">
        <v>176</v>
      </c>
      <c r="D139" s="117" t="s">
        <v>143</v>
      </c>
      <c r="E139" s="118" t="s">
        <v>177</v>
      </c>
      <c r="F139" s="190" t="s">
        <v>178</v>
      </c>
      <c r="G139" s="184"/>
      <c r="H139" s="184"/>
      <c r="I139" s="184"/>
      <c r="J139" s="119" t="s">
        <v>174</v>
      </c>
      <c r="K139" s="120">
        <v>2</v>
      </c>
      <c r="L139" s="183">
        <v>0</v>
      </c>
      <c r="M139" s="184"/>
      <c r="N139" s="185">
        <f>ROUND($L$139*$K$139,2)</f>
        <v>0</v>
      </c>
      <c r="O139" s="184"/>
      <c r="P139" s="184"/>
      <c r="Q139" s="184"/>
      <c r="R139" s="21"/>
      <c r="T139" s="121"/>
      <c r="U139" s="27" t="s">
        <v>40</v>
      </c>
      <c r="V139" s="122">
        <v>0.201</v>
      </c>
      <c r="W139" s="122">
        <f>$V$139*$K$139</f>
        <v>0.402</v>
      </c>
      <c r="X139" s="122">
        <v>0</v>
      </c>
      <c r="Y139" s="122">
        <f>$X$139*$K$139</f>
        <v>0</v>
      </c>
      <c r="Z139" s="122">
        <v>0</v>
      </c>
      <c r="AA139" s="123">
        <f>$Z$139*$K$139</f>
        <v>0</v>
      </c>
      <c r="AR139" s="6" t="s">
        <v>147</v>
      </c>
      <c r="AT139" s="6" t="s">
        <v>143</v>
      </c>
      <c r="AU139" s="6" t="s">
        <v>101</v>
      </c>
      <c r="AY139" s="6" t="s">
        <v>142</v>
      </c>
      <c r="BE139" s="76">
        <f>IF($U$139="základní",$N$139,0)</f>
        <v>0</v>
      </c>
      <c r="BF139" s="76">
        <f>IF($U$139="snížená",$N$139,0)</f>
        <v>0</v>
      </c>
      <c r="BG139" s="76">
        <f>IF($U$139="zákl. přenesená",$N$139,0)</f>
        <v>0</v>
      </c>
      <c r="BH139" s="76">
        <f>IF($U$139="sníž. přenesená",$N$139,0)</f>
        <v>0</v>
      </c>
      <c r="BI139" s="76">
        <f>IF($U$139="nulová",$N$139,0)</f>
        <v>0</v>
      </c>
      <c r="BJ139" s="6" t="s">
        <v>17</v>
      </c>
      <c r="BK139" s="76">
        <f>ROUND($L$139*$K$139,2)</f>
        <v>0</v>
      </c>
      <c r="BL139" s="6" t="s">
        <v>147</v>
      </c>
    </row>
    <row r="140" spans="2:63" s="107" customFormat="1" ht="30.75" customHeight="1">
      <c r="B140" s="108"/>
      <c r="D140" s="116" t="s">
        <v>113</v>
      </c>
      <c r="N140" s="189">
        <f>$BK$140</f>
        <v>0</v>
      </c>
      <c r="O140" s="188"/>
      <c r="P140" s="188"/>
      <c r="Q140" s="188"/>
      <c r="R140" s="111"/>
      <c r="T140" s="112"/>
      <c r="W140" s="113">
        <f>SUM($W$141:$W$157)</f>
        <v>32.931504</v>
      </c>
      <c r="Y140" s="113">
        <f>SUM($Y$141:$Y$157)</f>
        <v>8.195787880000001</v>
      </c>
      <c r="AA140" s="114">
        <f>SUM($AA$141:$AA$157)</f>
        <v>0</v>
      </c>
      <c r="AR140" s="110" t="s">
        <v>17</v>
      </c>
      <c r="AT140" s="110" t="s">
        <v>74</v>
      </c>
      <c r="AU140" s="110" t="s">
        <v>17</v>
      </c>
      <c r="AY140" s="110" t="s">
        <v>142</v>
      </c>
      <c r="BK140" s="115">
        <f>SUM($BK$141:$BK$157)</f>
        <v>0</v>
      </c>
    </row>
    <row r="141" spans="2:64" s="6" customFormat="1" ht="27" customHeight="1">
      <c r="B141" s="20"/>
      <c r="C141" s="117" t="s">
        <v>179</v>
      </c>
      <c r="D141" s="117" t="s">
        <v>143</v>
      </c>
      <c r="E141" s="118" t="s">
        <v>180</v>
      </c>
      <c r="F141" s="190" t="s">
        <v>181</v>
      </c>
      <c r="G141" s="184"/>
      <c r="H141" s="184"/>
      <c r="I141" s="184"/>
      <c r="J141" s="119" t="s">
        <v>153</v>
      </c>
      <c r="K141" s="120">
        <v>1.32</v>
      </c>
      <c r="L141" s="183">
        <v>0</v>
      </c>
      <c r="M141" s="184"/>
      <c r="N141" s="185">
        <f>ROUND($L$141*$K$141,2)</f>
        <v>0</v>
      </c>
      <c r="O141" s="184"/>
      <c r="P141" s="184"/>
      <c r="Q141" s="184"/>
      <c r="R141" s="21"/>
      <c r="T141" s="121"/>
      <c r="U141" s="27" t="s">
        <v>40</v>
      </c>
      <c r="V141" s="122">
        <v>1.2</v>
      </c>
      <c r="W141" s="122">
        <f>$V$141*$K$141</f>
        <v>1.584</v>
      </c>
      <c r="X141" s="122">
        <v>2.45329</v>
      </c>
      <c r="Y141" s="122">
        <f>$X$141*$K$141</f>
        <v>3.2383428000000003</v>
      </c>
      <c r="Z141" s="122">
        <v>0</v>
      </c>
      <c r="AA141" s="123">
        <f>$Z$141*$K$141</f>
        <v>0</v>
      </c>
      <c r="AR141" s="6" t="s">
        <v>147</v>
      </c>
      <c r="AT141" s="6" t="s">
        <v>143</v>
      </c>
      <c r="AU141" s="6" t="s">
        <v>101</v>
      </c>
      <c r="AY141" s="6" t="s">
        <v>142</v>
      </c>
      <c r="BE141" s="76">
        <f>IF($U$141="základní",$N$141,0)</f>
        <v>0</v>
      </c>
      <c r="BF141" s="76">
        <f>IF($U$141="snížená",$N$141,0)</f>
        <v>0</v>
      </c>
      <c r="BG141" s="76">
        <f>IF($U$141="zákl. přenesená",$N$141,0)</f>
        <v>0</v>
      </c>
      <c r="BH141" s="76">
        <f>IF($U$141="sníž. přenesená",$N$141,0)</f>
        <v>0</v>
      </c>
      <c r="BI141" s="76">
        <f>IF($U$141="nulová",$N$141,0)</f>
        <v>0</v>
      </c>
      <c r="BJ141" s="6" t="s">
        <v>17</v>
      </c>
      <c r="BK141" s="76">
        <f>ROUND($L$141*$K$141,2)</f>
        <v>0</v>
      </c>
      <c r="BL141" s="6" t="s">
        <v>147</v>
      </c>
    </row>
    <row r="142" spans="2:51" s="6" customFormat="1" ht="15.75" customHeight="1">
      <c r="B142" s="124"/>
      <c r="E142" s="125"/>
      <c r="F142" s="191" t="s">
        <v>182</v>
      </c>
      <c r="G142" s="192"/>
      <c r="H142" s="192"/>
      <c r="I142" s="192"/>
      <c r="K142" s="126">
        <v>1.32</v>
      </c>
      <c r="R142" s="127"/>
      <c r="T142" s="128"/>
      <c r="AA142" s="129"/>
      <c r="AT142" s="125" t="s">
        <v>155</v>
      </c>
      <c r="AU142" s="125" t="s">
        <v>101</v>
      </c>
      <c r="AV142" s="125" t="s">
        <v>101</v>
      </c>
      <c r="AW142" s="125" t="s">
        <v>109</v>
      </c>
      <c r="AX142" s="125" t="s">
        <v>75</v>
      </c>
      <c r="AY142" s="125" t="s">
        <v>142</v>
      </c>
    </row>
    <row r="143" spans="2:64" s="6" customFormat="1" ht="15.75" customHeight="1">
      <c r="B143" s="20"/>
      <c r="C143" s="117" t="s">
        <v>183</v>
      </c>
      <c r="D143" s="117" t="s">
        <v>143</v>
      </c>
      <c r="E143" s="118" t="s">
        <v>184</v>
      </c>
      <c r="F143" s="190" t="s">
        <v>185</v>
      </c>
      <c r="G143" s="184"/>
      <c r="H143" s="184"/>
      <c r="I143" s="184"/>
      <c r="J143" s="119" t="s">
        <v>174</v>
      </c>
      <c r="K143" s="120">
        <v>6.12</v>
      </c>
      <c r="L143" s="183">
        <v>0</v>
      </c>
      <c r="M143" s="184"/>
      <c r="N143" s="185">
        <f>ROUND($L$143*$K$143,2)</f>
        <v>0</v>
      </c>
      <c r="O143" s="184"/>
      <c r="P143" s="184"/>
      <c r="Q143" s="184"/>
      <c r="R143" s="21"/>
      <c r="T143" s="121"/>
      <c r="U143" s="27" t="s">
        <v>40</v>
      </c>
      <c r="V143" s="122">
        <v>0.51</v>
      </c>
      <c r="W143" s="122">
        <f>$V$143*$K$143</f>
        <v>3.1212</v>
      </c>
      <c r="X143" s="122">
        <v>0.00109</v>
      </c>
      <c r="Y143" s="122">
        <f>$X$143*$K$143</f>
        <v>0.0066708</v>
      </c>
      <c r="Z143" s="122">
        <v>0</v>
      </c>
      <c r="AA143" s="123">
        <f>$Z$143*$K$143</f>
        <v>0</v>
      </c>
      <c r="AR143" s="6" t="s">
        <v>147</v>
      </c>
      <c r="AT143" s="6" t="s">
        <v>143</v>
      </c>
      <c r="AU143" s="6" t="s">
        <v>101</v>
      </c>
      <c r="AY143" s="6" t="s">
        <v>142</v>
      </c>
      <c r="BE143" s="76">
        <f>IF($U$143="základní",$N$143,0)</f>
        <v>0</v>
      </c>
      <c r="BF143" s="76">
        <f>IF($U$143="snížená",$N$143,0)</f>
        <v>0</v>
      </c>
      <c r="BG143" s="76">
        <f>IF($U$143="zákl. přenesená",$N$143,0)</f>
        <v>0</v>
      </c>
      <c r="BH143" s="76">
        <f>IF($U$143="sníž. přenesená",$N$143,0)</f>
        <v>0</v>
      </c>
      <c r="BI143" s="76">
        <f>IF($U$143="nulová",$N$143,0)</f>
        <v>0</v>
      </c>
      <c r="BJ143" s="6" t="s">
        <v>17</v>
      </c>
      <c r="BK143" s="76">
        <f>ROUND($L$143*$K$143,2)</f>
        <v>0</v>
      </c>
      <c r="BL143" s="6" t="s">
        <v>147</v>
      </c>
    </row>
    <row r="144" spans="2:51" s="6" customFormat="1" ht="15.75" customHeight="1">
      <c r="B144" s="124"/>
      <c r="E144" s="125"/>
      <c r="F144" s="191" t="s">
        <v>186</v>
      </c>
      <c r="G144" s="192"/>
      <c r="H144" s="192"/>
      <c r="I144" s="192"/>
      <c r="K144" s="126">
        <v>6.12</v>
      </c>
      <c r="R144" s="127"/>
      <c r="T144" s="128"/>
      <c r="AA144" s="129"/>
      <c r="AT144" s="125" t="s">
        <v>155</v>
      </c>
      <c r="AU144" s="125" t="s">
        <v>101</v>
      </c>
      <c r="AV144" s="125" t="s">
        <v>101</v>
      </c>
      <c r="AW144" s="125" t="s">
        <v>109</v>
      </c>
      <c r="AX144" s="125" t="s">
        <v>75</v>
      </c>
      <c r="AY144" s="125" t="s">
        <v>142</v>
      </c>
    </row>
    <row r="145" spans="2:64" s="6" customFormat="1" ht="15.75" customHeight="1">
      <c r="B145" s="20"/>
      <c r="C145" s="117" t="s">
        <v>187</v>
      </c>
      <c r="D145" s="117" t="s">
        <v>143</v>
      </c>
      <c r="E145" s="118" t="s">
        <v>188</v>
      </c>
      <c r="F145" s="190" t="s">
        <v>189</v>
      </c>
      <c r="G145" s="184"/>
      <c r="H145" s="184"/>
      <c r="I145" s="184"/>
      <c r="J145" s="119" t="s">
        <v>174</v>
      </c>
      <c r="K145" s="120">
        <v>6.12</v>
      </c>
      <c r="L145" s="183">
        <v>0</v>
      </c>
      <c r="M145" s="184"/>
      <c r="N145" s="185">
        <f>ROUND($L$145*$K$145,2)</f>
        <v>0</v>
      </c>
      <c r="O145" s="184"/>
      <c r="P145" s="184"/>
      <c r="Q145" s="184"/>
      <c r="R145" s="21"/>
      <c r="T145" s="121"/>
      <c r="U145" s="27" t="s">
        <v>40</v>
      </c>
      <c r="V145" s="122">
        <v>0.301</v>
      </c>
      <c r="W145" s="122">
        <f>$V$145*$K$145</f>
        <v>1.84212</v>
      </c>
      <c r="X145" s="122">
        <v>0</v>
      </c>
      <c r="Y145" s="122">
        <f>$X$145*$K$145</f>
        <v>0</v>
      </c>
      <c r="Z145" s="122">
        <v>0</v>
      </c>
      <c r="AA145" s="123">
        <f>$Z$145*$K$145</f>
        <v>0</v>
      </c>
      <c r="AR145" s="6" t="s">
        <v>147</v>
      </c>
      <c r="AT145" s="6" t="s">
        <v>143</v>
      </c>
      <c r="AU145" s="6" t="s">
        <v>101</v>
      </c>
      <c r="AY145" s="6" t="s">
        <v>142</v>
      </c>
      <c r="BE145" s="76">
        <f>IF($U$145="základní",$N$145,0)</f>
        <v>0</v>
      </c>
      <c r="BF145" s="76">
        <f>IF($U$145="snížená",$N$145,0)</f>
        <v>0</v>
      </c>
      <c r="BG145" s="76">
        <f>IF($U$145="zákl. přenesená",$N$145,0)</f>
        <v>0</v>
      </c>
      <c r="BH145" s="76">
        <f>IF($U$145="sníž. přenesená",$N$145,0)</f>
        <v>0</v>
      </c>
      <c r="BI145" s="76">
        <f>IF($U$145="nulová",$N$145,0)</f>
        <v>0</v>
      </c>
      <c r="BJ145" s="6" t="s">
        <v>17</v>
      </c>
      <c r="BK145" s="76">
        <f>ROUND($L$145*$K$145,2)</f>
        <v>0</v>
      </c>
      <c r="BL145" s="6" t="s">
        <v>147</v>
      </c>
    </row>
    <row r="146" spans="2:64" s="6" customFormat="1" ht="27" customHeight="1">
      <c r="B146" s="20"/>
      <c r="C146" s="117" t="s">
        <v>190</v>
      </c>
      <c r="D146" s="117" t="s">
        <v>143</v>
      </c>
      <c r="E146" s="118" t="s">
        <v>191</v>
      </c>
      <c r="F146" s="190" t="s">
        <v>192</v>
      </c>
      <c r="G146" s="184"/>
      <c r="H146" s="184"/>
      <c r="I146" s="184"/>
      <c r="J146" s="119" t="s">
        <v>153</v>
      </c>
      <c r="K146" s="120">
        <v>1.23</v>
      </c>
      <c r="L146" s="183">
        <v>0</v>
      </c>
      <c r="M146" s="184"/>
      <c r="N146" s="185">
        <f>ROUND($L$146*$K$146,2)</f>
        <v>0</v>
      </c>
      <c r="O146" s="184"/>
      <c r="P146" s="184"/>
      <c r="Q146" s="184"/>
      <c r="R146" s="21"/>
      <c r="T146" s="121"/>
      <c r="U146" s="27" t="s">
        <v>40</v>
      </c>
      <c r="V146" s="122">
        <v>2.667</v>
      </c>
      <c r="W146" s="122">
        <f>$V$146*$K$146</f>
        <v>3.28041</v>
      </c>
      <c r="X146" s="122">
        <v>2.47057</v>
      </c>
      <c r="Y146" s="122">
        <f>$X$146*$K$146</f>
        <v>3.0388010999999997</v>
      </c>
      <c r="Z146" s="122">
        <v>0</v>
      </c>
      <c r="AA146" s="123">
        <f>$Z$146*$K$146</f>
        <v>0</v>
      </c>
      <c r="AR146" s="6" t="s">
        <v>147</v>
      </c>
      <c r="AT146" s="6" t="s">
        <v>143</v>
      </c>
      <c r="AU146" s="6" t="s">
        <v>101</v>
      </c>
      <c r="AY146" s="6" t="s">
        <v>142</v>
      </c>
      <c r="BE146" s="76">
        <f>IF($U$146="základní",$N$146,0)</f>
        <v>0</v>
      </c>
      <c r="BF146" s="76">
        <f>IF($U$146="snížená",$N$146,0)</f>
        <v>0</v>
      </c>
      <c r="BG146" s="76">
        <f>IF($U$146="zákl. přenesená",$N$146,0)</f>
        <v>0</v>
      </c>
      <c r="BH146" s="76">
        <f>IF($U$146="sníž. přenesená",$N$146,0)</f>
        <v>0</v>
      </c>
      <c r="BI146" s="76">
        <f>IF($U$146="nulová",$N$146,0)</f>
        <v>0</v>
      </c>
      <c r="BJ146" s="6" t="s">
        <v>17</v>
      </c>
      <c r="BK146" s="76">
        <f>ROUND($L$146*$K$146,2)</f>
        <v>0</v>
      </c>
      <c r="BL146" s="6" t="s">
        <v>147</v>
      </c>
    </row>
    <row r="147" spans="2:51" s="6" customFormat="1" ht="15.75" customHeight="1">
      <c r="B147" s="124"/>
      <c r="E147" s="125"/>
      <c r="F147" s="191" t="s">
        <v>193</v>
      </c>
      <c r="G147" s="192"/>
      <c r="H147" s="192"/>
      <c r="I147" s="192"/>
      <c r="K147" s="126">
        <v>1.23</v>
      </c>
      <c r="R147" s="127"/>
      <c r="T147" s="128"/>
      <c r="AA147" s="129"/>
      <c r="AT147" s="125" t="s">
        <v>155</v>
      </c>
      <c r="AU147" s="125" t="s">
        <v>101</v>
      </c>
      <c r="AV147" s="125" t="s">
        <v>101</v>
      </c>
      <c r="AW147" s="125" t="s">
        <v>109</v>
      </c>
      <c r="AX147" s="125" t="s">
        <v>75</v>
      </c>
      <c r="AY147" s="125" t="s">
        <v>142</v>
      </c>
    </row>
    <row r="148" spans="2:64" s="6" customFormat="1" ht="27" customHeight="1">
      <c r="B148" s="20"/>
      <c r="C148" s="117" t="s">
        <v>194</v>
      </c>
      <c r="D148" s="117" t="s">
        <v>143</v>
      </c>
      <c r="E148" s="118" t="s">
        <v>195</v>
      </c>
      <c r="F148" s="190" t="s">
        <v>196</v>
      </c>
      <c r="G148" s="184"/>
      <c r="H148" s="184"/>
      <c r="I148" s="184"/>
      <c r="J148" s="119" t="s">
        <v>174</v>
      </c>
      <c r="K148" s="120">
        <v>5.11</v>
      </c>
      <c r="L148" s="183">
        <v>0</v>
      </c>
      <c r="M148" s="184"/>
      <c r="N148" s="185">
        <f>ROUND($L$148*$K$148,2)</f>
        <v>0</v>
      </c>
      <c r="O148" s="184"/>
      <c r="P148" s="184"/>
      <c r="Q148" s="184"/>
      <c r="R148" s="21"/>
      <c r="T148" s="121"/>
      <c r="U148" s="27" t="s">
        <v>40</v>
      </c>
      <c r="V148" s="122">
        <v>1.16</v>
      </c>
      <c r="W148" s="122">
        <f>$V$148*$K$148</f>
        <v>5.9276</v>
      </c>
      <c r="X148" s="122">
        <v>0.02519</v>
      </c>
      <c r="Y148" s="122">
        <f>$X$148*$K$148</f>
        <v>0.1287209</v>
      </c>
      <c r="Z148" s="122">
        <v>0</v>
      </c>
      <c r="AA148" s="123">
        <f>$Z$148*$K$148</f>
        <v>0</v>
      </c>
      <c r="AR148" s="6" t="s">
        <v>147</v>
      </c>
      <c r="AT148" s="6" t="s">
        <v>143</v>
      </c>
      <c r="AU148" s="6" t="s">
        <v>101</v>
      </c>
      <c r="AY148" s="6" t="s">
        <v>142</v>
      </c>
      <c r="BE148" s="76">
        <f>IF($U$148="základní",$N$148,0)</f>
        <v>0</v>
      </c>
      <c r="BF148" s="76">
        <f>IF($U$148="snížená",$N$148,0)</f>
        <v>0</v>
      </c>
      <c r="BG148" s="76">
        <f>IF($U$148="zákl. přenesená",$N$148,0)</f>
        <v>0</v>
      </c>
      <c r="BH148" s="76">
        <f>IF($U$148="sníž. přenesená",$N$148,0)</f>
        <v>0</v>
      </c>
      <c r="BI148" s="76">
        <f>IF($U$148="nulová",$N$148,0)</f>
        <v>0</v>
      </c>
      <c r="BJ148" s="6" t="s">
        <v>17</v>
      </c>
      <c r="BK148" s="76">
        <f>ROUND($L$148*$K$148,2)</f>
        <v>0</v>
      </c>
      <c r="BL148" s="6" t="s">
        <v>147</v>
      </c>
    </row>
    <row r="149" spans="2:51" s="6" customFormat="1" ht="15.75" customHeight="1">
      <c r="B149" s="124"/>
      <c r="E149" s="125"/>
      <c r="F149" s="191" t="s">
        <v>197</v>
      </c>
      <c r="G149" s="192"/>
      <c r="H149" s="192"/>
      <c r="I149" s="192"/>
      <c r="K149" s="126">
        <v>4.803</v>
      </c>
      <c r="R149" s="127"/>
      <c r="T149" s="128"/>
      <c r="AA149" s="129"/>
      <c r="AT149" s="125" t="s">
        <v>155</v>
      </c>
      <c r="AU149" s="125" t="s">
        <v>101</v>
      </c>
      <c r="AV149" s="125" t="s">
        <v>101</v>
      </c>
      <c r="AW149" s="125" t="s">
        <v>109</v>
      </c>
      <c r="AX149" s="125" t="s">
        <v>75</v>
      </c>
      <c r="AY149" s="125" t="s">
        <v>142</v>
      </c>
    </row>
    <row r="150" spans="2:51" s="6" customFormat="1" ht="15.75" customHeight="1">
      <c r="B150" s="124"/>
      <c r="E150" s="125"/>
      <c r="F150" s="191" t="s">
        <v>198</v>
      </c>
      <c r="G150" s="192"/>
      <c r="H150" s="192"/>
      <c r="I150" s="192"/>
      <c r="K150" s="126">
        <v>0.307</v>
      </c>
      <c r="R150" s="127"/>
      <c r="T150" s="128"/>
      <c r="AA150" s="129"/>
      <c r="AT150" s="125" t="s">
        <v>155</v>
      </c>
      <c r="AU150" s="125" t="s">
        <v>101</v>
      </c>
      <c r="AV150" s="125" t="s">
        <v>101</v>
      </c>
      <c r="AW150" s="125" t="s">
        <v>109</v>
      </c>
      <c r="AX150" s="125" t="s">
        <v>75</v>
      </c>
      <c r="AY150" s="125" t="s">
        <v>142</v>
      </c>
    </row>
    <row r="151" spans="2:64" s="6" customFormat="1" ht="27" customHeight="1">
      <c r="B151" s="20"/>
      <c r="C151" s="117" t="s">
        <v>199</v>
      </c>
      <c r="D151" s="117" t="s">
        <v>143</v>
      </c>
      <c r="E151" s="118" t="s">
        <v>200</v>
      </c>
      <c r="F151" s="190" t="s">
        <v>201</v>
      </c>
      <c r="G151" s="184"/>
      <c r="H151" s="184"/>
      <c r="I151" s="184"/>
      <c r="J151" s="119" t="s">
        <v>174</v>
      </c>
      <c r="K151" s="120">
        <v>5.11</v>
      </c>
      <c r="L151" s="183">
        <v>0</v>
      </c>
      <c r="M151" s="184"/>
      <c r="N151" s="185">
        <f>ROUND($L$151*$K$151,2)</f>
        <v>0</v>
      </c>
      <c r="O151" s="184"/>
      <c r="P151" s="184"/>
      <c r="Q151" s="184"/>
      <c r="R151" s="21"/>
      <c r="T151" s="121"/>
      <c r="U151" s="27" t="s">
        <v>40</v>
      </c>
      <c r="V151" s="122">
        <v>0.339</v>
      </c>
      <c r="W151" s="122">
        <f>$V$151*$K$151</f>
        <v>1.7322900000000003</v>
      </c>
      <c r="X151" s="122">
        <v>0</v>
      </c>
      <c r="Y151" s="122">
        <f>$X$151*$K$151</f>
        <v>0</v>
      </c>
      <c r="Z151" s="122">
        <v>0</v>
      </c>
      <c r="AA151" s="123">
        <f>$Z$151*$K$151</f>
        <v>0</v>
      </c>
      <c r="AR151" s="6" t="s">
        <v>147</v>
      </c>
      <c r="AT151" s="6" t="s">
        <v>143</v>
      </c>
      <c r="AU151" s="6" t="s">
        <v>101</v>
      </c>
      <c r="AY151" s="6" t="s">
        <v>142</v>
      </c>
      <c r="BE151" s="76">
        <f>IF($U$151="základní",$N$151,0)</f>
        <v>0</v>
      </c>
      <c r="BF151" s="76">
        <f>IF($U$151="snížená",$N$151,0)</f>
        <v>0</v>
      </c>
      <c r="BG151" s="76">
        <f>IF($U$151="zákl. přenesená",$N$151,0)</f>
        <v>0</v>
      </c>
      <c r="BH151" s="76">
        <f>IF($U$151="sníž. přenesená",$N$151,0)</f>
        <v>0</v>
      </c>
      <c r="BI151" s="76">
        <f>IF($U$151="nulová",$N$151,0)</f>
        <v>0</v>
      </c>
      <c r="BJ151" s="6" t="s">
        <v>17</v>
      </c>
      <c r="BK151" s="76">
        <f>ROUND($L$151*$K$151,2)</f>
        <v>0</v>
      </c>
      <c r="BL151" s="6" t="s">
        <v>147</v>
      </c>
    </row>
    <row r="152" spans="2:64" s="6" customFormat="1" ht="27" customHeight="1">
      <c r="B152" s="20"/>
      <c r="C152" s="117" t="s">
        <v>202</v>
      </c>
      <c r="D152" s="117" t="s">
        <v>143</v>
      </c>
      <c r="E152" s="118" t="s">
        <v>203</v>
      </c>
      <c r="F152" s="190" t="s">
        <v>204</v>
      </c>
      <c r="G152" s="184"/>
      <c r="H152" s="184"/>
      <c r="I152" s="184"/>
      <c r="J152" s="119" t="s">
        <v>205</v>
      </c>
      <c r="K152" s="120">
        <v>0.148</v>
      </c>
      <c r="L152" s="183">
        <v>0</v>
      </c>
      <c r="M152" s="184"/>
      <c r="N152" s="185">
        <f>ROUND($L$152*$K$152,2)</f>
        <v>0</v>
      </c>
      <c r="O152" s="184"/>
      <c r="P152" s="184"/>
      <c r="Q152" s="184"/>
      <c r="R152" s="21"/>
      <c r="T152" s="121"/>
      <c r="U152" s="27" t="s">
        <v>40</v>
      </c>
      <c r="V152" s="122">
        <v>45.358</v>
      </c>
      <c r="W152" s="122">
        <f>$V$152*$K$152</f>
        <v>6.712984</v>
      </c>
      <c r="X152" s="122">
        <v>1.04711</v>
      </c>
      <c r="Y152" s="122">
        <f>$X$152*$K$152</f>
        <v>0.15497228</v>
      </c>
      <c r="Z152" s="122">
        <v>0</v>
      </c>
      <c r="AA152" s="123">
        <f>$Z$152*$K$152</f>
        <v>0</v>
      </c>
      <c r="AR152" s="6" t="s">
        <v>147</v>
      </c>
      <c r="AT152" s="6" t="s">
        <v>143</v>
      </c>
      <c r="AU152" s="6" t="s">
        <v>101</v>
      </c>
      <c r="AY152" s="6" t="s">
        <v>142</v>
      </c>
      <c r="BE152" s="76">
        <f>IF($U$152="základní",$N$152,0)</f>
        <v>0</v>
      </c>
      <c r="BF152" s="76">
        <f>IF($U$152="snížená",$N$152,0)</f>
        <v>0</v>
      </c>
      <c r="BG152" s="76">
        <f>IF($U$152="zákl. přenesená",$N$152,0)</f>
        <v>0</v>
      </c>
      <c r="BH152" s="76">
        <f>IF($U$152="sníž. přenesená",$N$152,0)</f>
        <v>0</v>
      </c>
      <c r="BI152" s="76">
        <f>IF($U$152="nulová",$N$152,0)</f>
        <v>0</v>
      </c>
      <c r="BJ152" s="6" t="s">
        <v>17</v>
      </c>
      <c r="BK152" s="76">
        <f>ROUND($L$152*$K$152,2)</f>
        <v>0</v>
      </c>
      <c r="BL152" s="6" t="s">
        <v>147</v>
      </c>
    </row>
    <row r="153" spans="2:51" s="6" customFormat="1" ht="15.75" customHeight="1">
      <c r="B153" s="124"/>
      <c r="E153" s="125"/>
      <c r="F153" s="191" t="s">
        <v>206</v>
      </c>
      <c r="G153" s="192"/>
      <c r="H153" s="192"/>
      <c r="I153" s="192"/>
      <c r="K153" s="126">
        <v>0.148</v>
      </c>
      <c r="R153" s="127"/>
      <c r="T153" s="128"/>
      <c r="AA153" s="129"/>
      <c r="AT153" s="125" t="s">
        <v>155</v>
      </c>
      <c r="AU153" s="125" t="s">
        <v>101</v>
      </c>
      <c r="AV153" s="125" t="s">
        <v>101</v>
      </c>
      <c r="AW153" s="125" t="s">
        <v>109</v>
      </c>
      <c r="AX153" s="125" t="s">
        <v>75</v>
      </c>
      <c r="AY153" s="125" t="s">
        <v>142</v>
      </c>
    </row>
    <row r="154" spans="2:64" s="6" customFormat="1" ht="27" customHeight="1">
      <c r="B154" s="20"/>
      <c r="C154" s="117" t="s">
        <v>207</v>
      </c>
      <c r="D154" s="117" t="s">
        <v>143</v>
      </c>
      <c r="E154" s="118" t="s">
        <v>208</v>
      </c>
      <c r="F154" s="190" t="s">
        <v>209</v>
      </c>
      <c r="G154" s="184"/>
      <c r="H154" s="184"/>
      <c r="I154" s="184"/>
      <c r="J154" s="119" t="s">
        <v>146</v>
      </c>
      <c r="K154" s="120">
        <v>7</v>
      </c>
      <c r="L154" s="183">
        <v>0</v>
      </c>
      <c r="M154" s="184"/>
      <c r="N154" s="185">
        <f>ROUND($L$154*$K$154,2)</f>
        <v>0</v>
      </c>
      <c r="O154" s="184"/>
      <c r="P154" s="184"/>
      <c r="Q154" s="184"/>
      <c r="R154" s="21"/>
      <c r="T154" s="121"/>
      <c r="U154" s="27" t="s">
        <v>40</v>
      </c>
      <c r="V154" s="122">
        <v>0.34</v>
      </c>
      <c r="W154" s="122">
        <f>$V$154*$K$154</f>
        <v>2.3800000000000003</v>
      </c>
      <c r="X154" s="122">
        <v>0.17489</v>
      </c>
      <c r="Y154" s="122">
        <f>$X$154*$K$154</f>
        <v>1.22423</v>
      </c>
      <c r="Z154" s="122">
        <v>0</v>
      </c>
      <c r="AA154" s="123">
        <f>$Z$154*$K$154</f>
        <v>0</v>
      </c>
      <c r="AR154" s="6" t="s">
        <v>147</v>
      </c>
      <c r="AT154" s="6" t="s">
        <v>143</v>
      </c>
      <c r="AU154" s="6" t="s">
        <v>101</v>
      </c>
      <c r="AY154" s="6" t="s">
        <v>142</v>
      </c>
      <c r="BE154" s="76">
        <f>IF($U$154="základní",$N$154,0)</f>
        <v>0</v>
      </c>
      <c r="BF154" s="76">
        <f>IF($U$154="snížená",$N$154,0)</f>
        <v>0</v>
      </c>
      <c r="BG154" s="76">
        <f>IF($U$154="zákl. přenesená",$N$154,0)</f>
        <v>0</v>
      </c>
      <c r="BH154" s="76">
        <f>IF($U$154="sníž. přenesená",$N$154,0)</f>
        <v>0</v>
      </c>
      <c r="BI154" s="76">
        <f>IF($U$154="nulová",$N$154,0)</f>
        <v>0</v>
      </c>
      <c r="BJ154" s="6" t="s">
        <v>17</v>
      </c>
      <c r="BK154" s="76">
        <f>ROUND($L$154*$K$154,2)</f>
        <v>0</v>
      </c>
      <c r="BL154" s="6" t="s">
        <v>147</v>
      </c>
    </row>
    <row r="155" spans="2:64" s="6" customFormat="1" ht="15.75" customHeight="1">
      <c r="B155" s="20"/>
      <c r="C155" s="130" t="s">
        <v>210</v>
      </c>
      <c r="D155" s="130" t="s">
        <v>211</v>
      </c>
      <c r="E155" s="131" t="s">
        <v>212</v>
      </c>
      <c r="F155" s="193" t="s">
        <v>213</v>
      </c>
      <c r="G155" s="194"/>
      <c r="H155" s="194"/>
      <c r="I155" s="194"/>
      <c r="J155" s="132" t="s">
        <v>146</v>
      </c>
      <c r="K155" s="133">
        <v>7</v>
      </c>
      <c r="L155" s="195">
        <v>0</v>
      </c>
      <c r="M155" s="194"/>
      <c r="N155" s="196">
        <f>ROUND($L$155*$K$155,2)</f>
        <v>0</v>
      </c>
      <c r="O155" s="184"/>
      <c r="P155" s="184"/>
      <c r="Q155" s="184"/>
      <c r="R155" s="21"/>
      <c r="T155" s="121"/>
      <c r="U155" s="27" t="s">
        <v>40</v>
      </c>
      <c r="V155" s="122">
        <v>0</v>
      </c>
      <c r="W155" s="122">
        <f>$V$155*$K$155</f>
        <v>0</v>
      </c>
      <c r="X155" s="122">
        <v>0.0024</v>
      </c>
      <c r="Y155" s="122">
        <f>$X$155*$K$155</f>
        <v>0.0168</v>
      </c>
      <c r="Z155" s="122">
        <v>0</v>
      </c>
      <c r="AA155" s="123">
        <f>$Z$155*$K$155</f>
        <v>0</v>
      </c>
      <c r="AR155" s="6" t="s">
        <v>202</v>
      </c>
      <c r="AT155" s="6" t="s">
        <v>211</v>
      </c>
      <c r="AU155" s="6" t="s">
        <v>101</v>
      </c>
      <c r="AY155" s="6" t="s">
        <v>142</v>
      </c>
      <c r="BE155" s="76">
        <f>IF($U$155="základní",$N$155,0)</f>
        <v>0</v>
      </c>
      <c r="BF155" s="76">
        <f>IF($U$155="snížená",$N$155,0)</f>
        <v>0</v>
      </c>
      <c r="BG155" s="76">
        <f>IF($U$155="zákl. přenesená",$N$155,0)</f>
        <v>0</v>
      </c>
      <c r="BH155" s="76">
        <f>IF($U$155="sníž. přenesená",$N$155,0)</f>
        <v>0</v>
      </c>
      <c r="BI155" s="76">
        <f>IF($U$155="nulová",$N$155,0)</f>
        <v>0</v>
      </c>
      <c r="BJ155" s="6" t="s">
        <v>17</v>
      </c>
      <c r="BK155" s="76">
        <f>ROUND($L$155*$K$155,2)</f>
        <v>0</v>
      </c>
      <c r="BL155" s="6" t="s">
        <v>147</v>
      </c>
    </row>
    <row r="156" spans="2:64" s="6" customFormat="1" ht="27" customHeight="1">
      <c r="B156" s="20"/>
      <c r="C156" s="117" t="s">
        <v>214</v>
      </c>
      <c r="D156" s="117" t="s">
        <v>143</v>
      </c>
      <c r="E156" s="118" t="s">
        <v>215</v>
      </c>
      <c r="F156" s="190" t="s">
        <v>216</v>
      </c>
      <c r="G156" s="184"/>
      <c r="H156" s="184"/>
      <c r="I156" s="184"/>
      <c r="J156" s="119" t="s">
        <v>217</v>
      </c>
      <c r="K156" s="120">
        <v>15.49</v>
      </c>
      <c r="L156" s="183">
        <v>0</v>
      </c>
      <c r="M156" s="184"/>
      <c r="N156" s="185">
        <f>ROUND($L$156*$K$156,2)</f>
        <v>0</v>
      </c>
      <c r="O156" s="184"/>
      <c r="P156" s="184"/>
      <c r="Q156" s="184"/>
      <c r="R156" s="21"/>
      <c r="T156" s="121"/>
      <c r="U156" s="27" t="s">
        <v>40</v>
      </c>
      <c r="V156" s="122">
        <v>0.41</v>
      </c>
      <c r="W156" s="122">
        <f>$V$156*$K$156</f>
        <v>6.350899999999999</v>
      </c>
      <c r="X156" s="122">
        <v>0</v>
      </c>
      <c r="Y156" s="122">
        <f>$X$156*$K$156</f>
        <v>0</v>
      </c>
      <c r="Z156" s="122">
        <v>0</v>
      </c>
      <c r="AA156" s="123">
        <f>$Z$156*$K$156</f>
        <v>0</v>
      </c>
      <c r="AR156" s="6" t="s">
        <v>147</v>
      </c>
      <c r="AT156" s="6" t="s">
        <v>143</v>
      </c>
      <c r="AU156" s="6" t="s">
        <v>101</v>
      </c>
      <c r="AY156" s="6" t="s">
        <v>142</v>
      </c>
      <c r="BE156" s="76">
        <f>IF($U$156="základní",$N$156,0)</f>
        <v>0</v>
      </c>
      <c r="BF156" s="76">
        <f>IF($U$156="snížená",$N$156,0)</f>
        <v>0</v>
      </c>
      <c r="BG156" s="76">
        <f>IF($U$156="zákl. přenesená",$N$156,0)</f>
        <v>0</v>
      </c>
      <c r="BH156" s="76">
        <f>IF($U$156="sníž. přenesená",$N$156,0)</f>
        <v>0</v>
      </c>
      <c r="BI156" s="76">
        <f>IF($U$156="nulová",$N$156,0)</f>
        <v>0</v>
      </c>
      <c r="BJ156" s="6" t="s">
        <v>17</v>
      </c>
      <c r="BK156" s="76">
        <f>ROUND($L$156*$K$156,2)</f>
        <v>0</v>
      </c>
      <c r="BL156" s="6" t="s">
        <v>147</v>
      </c>
    </row>
    <row r="157" spans="2:64" s="6" customFormat="1" ht="27" customHeight="1">
      <c r="B157" s="20"/>
      <c r="C157" s="130" t="s">
        <v>218</v>
      </c>
      <c r="D157" s="130" t="s">
        <v>211</v>
      </c>
      <c r="E157" s="131" t="s">
        <v>219</v>
      </c>
      <c r="F157" s="193" t="s">
        <v>220</v>
      </c>
      <c r="G157" s="194"/>
      <c r="H157" s="194"/>
      <c r="I157" s="194"/>
      <c r="J157" s="132" t="s">
        <v>217</v>
      </c>
      <c r="K157" s="133">
        <v>15.49</v>
      </c>
      <c r="L157" s="195">
        <v>0</v>
      </c>
      <c r="M157" s="194"/>
      <c r="N157" s="196">
        <f>ROUND($L$157*$K$157,2)</f>
        <v>0</v>
      </c>
      <c r="O157" s="184"/>
      <c r="P157" s="184"/>
      <c r="Q157" s="184"/>
      <c r="R157" s="21"/>
      <c r="T157" s="121"/>
      <c r="U157" s="27" t="s">
        <v>40</v>
      </c>
      <c r="V157" s="122">
        <v>0</v>
      </c>
      <c r="W157" s="122">
        <f>$V$157*$K$157</f>
        <v>0</v>
      </c>
      <c r="X157" s="122">
        <v>0.025</v>
      </c>
      <c r="Y157" s="122">
        <f>$X$157*$K$157</f>
        <v>0.38725000000000004</v>
      </c>
      <c r="Z157" s="122">
        <v>0</v>
      </c>
      <c r="AA157" s="123">
        <f>$Z$157*$K$157</f>
        <v>0</v>
      </c>
      <c r="AR157" s="6" t="s">
        <v>202</v>
      </c>
      <c r="AT157" s="6" t="s">
        <v>211</v>
      </c>
      <c r="AU157" s="6" t="s">
        <v>101</v>
      </c>
      <c r="AY157" s="6" t="s">
        <v>142</v>
      </c>
      <c r="BE157" s="76">
        <f>IF($U$157="základní",$N$157,0)</f>
        <v>0</v>
      </c>
      <c r="BF157" s="76">
        <f>IF($U$157="snížená",$N$157,0)</f>
        <v>0</v>
      </c>
      <c r="BG157" s="76">
        <f>IF($U$157="zákl. přenesená",$N$157,0)</f>
        <v>0</v>
      </c>
      <c r="BH157" s="76">
        <f>IF($U$157="sníž. přenesená",$N$157,0)</f>
        <v>0</v>
      </c>
      <c r="BI157" s="76">
        <f>IF($U$157="nulová",$N$157,0)</f>
        <v>0</v>
      </c>
      <c r="BJ157" s="6" t="s">
        <v>17</v>
      </c>
      <c r="BK157" s="76">
        <f>ROUND($L$157*$K$157,2)</f>
        <v>0</v>
      </c>
      <c r="BL157" s="6" t="s">
        <v>147</v>
      </c>
    </row>
    <row r="158" spans="2:63" s="107" customFormat="1" ht="30.75" customHeight="1">
      <c r="B158" s="108"/>
      <c r="D158" s="116" t="s">
        <v>114</v>
      </c>
      <c r="N158" s="189">
        <f>$BK$158</f>
        <v>0</v>
      </c>
      <c r="O158" s="188"/>
      <c r="P158" s="188"/>
      <c r="Q158" s="188"/>
      <c r="R158" s="111"/>
      <c r="T158" s="112"/>
      <c r="W158" s="113">
        <f>SUM($W$159:$W$160)</f>
        <v>19.34656</v>
      </c>
      <c r="Y158" s="113">
        <f>SUM($Y$159:$Y$160)</f>
        <v>0</v>
      </c>
      <c r="AA158" s="114">
        <f>SUM($AA$159:$AA$160)</f>
        <v>0</v>
      </c>
      <c r="AR158" s="110" t="s">
        <v>17</v>
      </c>
      <c r="AT158" s="110" t="s">
        <v>74</v>
      </c>
      <c r="AU158" s="110" t="s">
        <v>17</v>
      </c>
      <c r="AY158" s="110" t="s">
        <v>142</v>
      </c>
      <c r="BK158" s="115">
        <f>SUM($BK$159:$BK$160)</f>
        <v>0</v>
      </c>
    </row>
    <row r="159" spans="2:64" s="6" customFormat="1" ht="27" customHeight="1">
      <c r="B159" s="20"/>
      <c r="C159" s="117" t="s">
        <v>221</v>
      </c>
      <c r="D159" s="117" t="s">
        <v>143</v>
      </c>
      <c r="E159" s="118" t="s">
        <v>222</v>
      </c>
      <c r="F159" s="190" t="s">
        <v>223</v>
      </c>
      <c r="G159" s="184"/>
      <c r="H159" s="184"/>
      <c r="I159" s="184"/>
      <c r="J159" s="119" t="s">
        <v>174</v>
      </c>
      <c r="K159" s="120">
        <v>50.912</v>
      </c>
      <c r="L159" s="183">
        <v>0</v>
      </c>
      <c r="M159" s="184"/>
      <c r="N159" s="185">
        <f>ROUND($L$159*$K$159,2)</f>
        <v>0</v>
      </c>
      <c r="O159" s="184"/>
      <c r="P159" s="184"/>
      <c r="Q159" s="184"/>
      <c r="R159" s="21"/>
      <c r="T159" s="121"/>
      <c r="U159" s="27" t="s">
        <v>40</v>
      </c>
      <c r="V159" s="122">
        <v>0.38</v>
      </c>
      <c r="W159" s="122">
        <f>$V$159*$K$159</f>
        <v>19.34656</v>
      </c>
      <c r="X159" s="122">
        <v>0</v>
      </c>
      <c r="Y159" s="122">
        <f>$X$159*$K$159</f>
        <v>0</v>
      </c>
      <c r="Z159" s="122">
        <v>0</v>
      </c>
      <c r="AA159" s="123">
        <f>$Z$159*$K$159</f>
        <v>0</v>
      </c>
      <c r="AR159" s="6" t="s">
        <v>147</v>
      </c>
      <c r="AT159" s="6" t="s">
        <v>143</v>
      </c>
      <c r="AU159" s="6" t="s">
        <v>101</v>
      </c>
      <c r="AY159" s="6" t="s">
        <v>142</v>
      </c>
      <c r="BE159" s="76">
        <f>IF($U$159="základní",$N$159,0)</f>
        <v>0</v>
      </c>
      <c r="BF159" s="76">
        <f>IF($U$159="snížená",$N$159,0)</f>
        <v>0</v>
      </c>
      <c r="BG159" s="76">
        <f>IF($U$159="zákl. přenesená",$N$159,0)</f>
        <v>0</v>
      </c>
      <c r="BH159" s="76">
        <f>IF($U$159="sníž. přenesená",$N$159,0)</f>
        <v>0</v>
      </c>
      <c r="BI159" s="76">
        <f>IF($U$159="nulová",$N$159,0)</f>
        <v>0</v>
      </c>
      <c r="BJ159" s="6" t="s">
        <v>17</v>
      </c>
      <c r="BK159" s="76">
        <f>ROUND($L$159*$K$159,2)</f>
        <v>0</v>
      </c>
      <c r="BL159" s="6" t="s">
        <v>147</v>
      </c>
    </row>
    <row r="160" spans="2:51" s="6" customFormat="1" ht="15.75" customHeight="1">
      <c r="B160" s="124"/>
      <c r="E160" s="125"/>
      <c r="F160" s="191" t="s">
        <v>224</v>
      </c>
      <c r="G160" s="192"/>
      <c r="H160" s="192"/>
      <c r="I160" s="192"/>
      <c r="K160" s="126">
        <v>50.912</v>
      </c>
      <c r="R160" s="127"/>
      <c r="T160" s="128"/>
      <c r="AA160" s="129"/>
      <c r="AT160" s="125" t="s">
        <v>155</v>
      </c>
      <c r="AU160" s="125" t="s">
        <v>101</v>
      </c>
      <c r="AV160" s="125" t="s">
        <v>101</v>
      </c>
      <c r="AW160" s="125" t="s">
        <v>109</v>
      </c>
      <c r="AX160" s="125" t="s">
        <v>75</v>
      </c>
      <c r="AY160" s="125" t="s">
        <v>142</v>
      </c>
    </row>
    <row r="161" spans="2:63" s="107" customFormat="1" ht="30.75" customHeight="1">
      <c r="B161" s="108"/>
      <c r="D161" s="116" t="s">
        <v>115</v>
      </c>
      <c r="N161" s="189">
        <f>$BK$161</f>
        <v>0</v>
      </c>
      <c r="O161" s="188"/>
      <c r="P161" s="188"/>
      <c r="Q161" s="188"/>
      <c r="R161" s="111"/>
      <c r="T161" s="112"/>
      <c r="W161" s="113">
        <f>$W$162+SUM($W$163:$W$191)</f>
        <v>383.539479</v>
      </c>
      <c r="Y161" s="113">
        <f>$Y$162+SUM($Y$163:$Y$191)</f>
        <v>9.729619279999998</v>
      </c>
      <c r="AA161" s="114">
        <f>$AA$162+SUM($AA$163:$AA$191)</f>
        <v>7.673226400000001</v>
      </c>
      <c r="AR161" s="110" t="s">
        <v>17</v>
      </c>
      <c r="AT161" s="110" t="s">
        <v>74</v>
      </c>
      <c r="AU161" s="110" t="s">
        <v>17</v>
      </c>
      <c r="AY161" s="110" t="s">
        <v>142</v>
      </c>
      <c r="BK161" s="115">
        <f>$BK$162+SUM($BK$163:$BK$191)</f>
        <v>0</v>
      </c>
    </row>
    <row r="162" spans="2:64" s="6" customFormat="1" ht="27" customHeight="1">
      <c r="B162" s="20"/>
      <c r="C162" s="117" t="s">
        <v>21</v>
      </c>
      <c r="D162" s="117" t="s">
        <v>143</v>
      </c>
      <c r="E162" s="118" t="s">
        <v>225</v>
      </c>
      <c r="F162" s="190" t="s">
        <v>226</v>
      </c>
      <c r="G162" s="184"/>
      <c r="H162" s="184"/>
      <c r="I162" s="184"/>
      <c r="J162" s="119" t="s">
        <v>217</v>
      </c>
      <c r="K162" s="120">
        <v>3.5</v>
      </c>
      <c r="L162" s="183">
        <v>0</v>
      </c>
      <c r="M162" s="184"/>
      <c r="N162" s="185">
        <f>ROUND($L$162*$K$162,2)</f>
        <v>0</v>
      </c>
      <c r="O162" s="184"/>
      <c r="P162" s="184"/>
      <c r="Q162" s="184"/>
      <c r="R162" s="21"/>
      <c r="T162" s="121"/>
      <c r="U162" s="27" t="s">
        <v>40</v>
      </c>
      <c r="V162" s="122">
        <v>0.24</v>
      </c>
      <c r="W162" s="122">
        <f>$V$162*$K$162</f>
        <v>0.84</v>
      </c>
      <c r="X162" s="122">
        <v>0.00031</v>
      </c>
      <c r="Y162" s="122">
        <f>$X$162*$K$162</f>
        <v>0.001085</v>
      </c>
      <c r="Z162" s="122">
        <v>0</v>
      </c>
      <c r="AA162" s="123">
        <f>$Z$162*$K$162</f>
        <v>0</v>
      </c>
      <c r="AR162" s="6" t="s">
        <v>147</v>
      </c>
      <c r="AT162" s="6" t="s">
        <v>143</v>
      </c>
      <c r="AU162" s="6" t="s">
        <v>101</v>
      </c>
      <c r="AY162" s="6" t="s">
        <v>142</v>
      </c>
      <c r="BE162" s="76">
        <f>IF($U$162="základní",$N$162,0)</f>
        <v>0</v>
      </c>
      <c r="BF162" s="76">
        <f>IF($U$162="snížená",$N$162,0)</f>
        <v>0</v>
      </c>
      <c r="BG162" s="76">
        <f>IF($U$162="zákl. přenesená",$N$162,0)</f>
        <v>0</v>
      </c>
      <c r="BH162" s="76">
        <f>IF($U$162="sníž. přenesená",$N$162,0)</f>
        <v>0</v>
      </c>
      <c r="BI162" s="76">
        <f>IF($U$162="nulová",$N$162,0)</f>
        <v>0</v>
      </c>
      <c r="BJ162" s="6" t="s">
        <v>17</v>
      </c>
      <c r="BK162" s="76">
        <f>ROUND($L$162*$K$162,2)</f>
        <v>0</v>
      </c>
      <c r="BL162" s="6" t="s">
        <v>147</v>
      </c>
    </row>
    <row r="163" spans="2:64" s="6" customFormat="1" ht="15.75" customHeight="1">
      <c r="B163" s="20"/>
      <c r="C163" s="117" t="s">
        <v>227</v>
      </c>
      <c r="D163" s="117" t="s">
        <v>143</v>
      </c>
      <c r="E163" s="118" t="s">
        <v>228</v>
      </c>
      <c r="F163" s="190" t="s">
        <v>229</v>
      </c>
      <c r="G163" s="184"/>
      <c r="H163" s="184"/>
      <c r="I163" s="184"/>
      <c r="J163" s="119" t="s">
        <v>217</v>
      </c>
      <c r="K163" s="120">
        <v>6</v>
      </c>
      <c r="L163" s="183">
        <v>0</v>
      </c>
      <c r="M163" s="184"/>
      <c r="N163" s="185">
        <f>ROUND($L$163*$K$163,2)</f>
        <v>0</v>
      </c>
      <c r="O163" s="184"/>
      <c r="P163" s="184"/>
      <c r="Q163" s="184"/>
      <c r="R163" s="21"/>
      <c r="T163" s="121"/>
      <c r="U163" s="27" t="s">
        <v>40</v>
      </c>
      <c r="V163" s="122">
        <v>0.65</v>
      </c>
      <c r="W163" s="122">
        <f>$V$163*$K$163</f>
        <v>3.9000000000000004</v>
      </c>
      <c r="X163" s="122">
        <v>0.00176</v>
      </c>
      <c r="Y163" s="122">
        <f>$X$163*$K$163</f>
        <v>0.01056</v>
      </c>
      <c r="Z163" s="122">
        <v>0</v>
      </c>
      <c r="AA163" s="123">
        <f>$Z$163*$K$163</f>
        <v>0</v>
      </c>
      <c r="AR163" s="6" t="s">
        <v>147</v>
      </c>
      <c r="AT163" s="6" t="s">
        <v>143</v>
      </c>
      <c r="AU163" s="6" t="s">
        <v>101</v>
      </c>
      <c r="AY163" s="6" t="s">
        <v>142</v>
      </c>
      <c r="BE163" s="76">
        <f>IF($U$163="základní",$N$163,0)</f>
        <v>0</v>
      </c>
      <c r="BF163" s="76">
        <f>IF($U$163="snížená",$N$163,0)</f>
        <v>0</v>
      </c>
      <c r="BG163" s="76">
        <f>IF($U$163="zákl. přenesená",$N$163,0)</f>
        <v>0</v>
      </c>
      <c r="BH163" s="76">
        <f>IF($U$163="sníž. přenesená",$N$163,0)</f>
        <v>0</v>
      </c>
      <c r="BI163" s="76">
        <f>IF($U$163="nulová",$N$163,0)</f>
        <v>0</v>
      </c>
      <c r="BJ163" s="6" t="s">
        <v>17</v>
      </c>
      <c r="BK163" s="76">
        <f>ROUND($L$163*$K$163,2)</f>
        <v>0</v>
      </c>
      <c r="BL163" s="6" t="s">
        <v>147</v>
      </c>
    </row>
    <row r="164" spans="2:64" s="6" customFormat="1" ht="27" customHeight="1">
      <c r="B164" s="20"/>
      <c r="C164" s="117" t="s">
        <v>230</v>
      </c>
      <c r="D164" s="117" t="s">
        <v>143</v>
      </c>
      <c r="E164" s="118" t="s">
        <v>231</v>
      </c>
      <c r="F164" s="190" t="s">
        <v>232</v>
      </c>
      <c r="G164" s="184"/>
      <c r="H164" s="184"/>
      <c r="I164" s="184"/>
      <c r="J164" s="119" t="s">
        <v>146</v>
      </c>
      <c r="K164" s="120">
        <v>4</v>
      </c>
      <c r="L164" s="183">
        <v>0</v>
      </c>
      <c r="M164" s="184"/>
      <c r="N164" s="185">
        <f>ROUND($L$164*$K$164,2)</f>
        <v>0</v>
      </c>
      <c r="O164" s="184"/>
      <c r="P164" s="184"/>
      <c r="Q164" s="184"/>
      <c r="R164" s="21"/>
      <c r="T164" s="121"/>
      <c r="U164" s="27" t="s">
        <v>40</v>
      </c>
      <c r="V164" s="122">
        <v>0.355</v>
      </c>
      <c r="W164" s="122">
        <f>$V$164*$K$164</f>
        <v>1.42</v>
      </c>
      <c r="X164" s="122">
        <v>0.00092</v>
      </c>
      <c r="Y164" s="122">
        <f>$X$164*$K$164</f>
        <v>0.00368</v>
      </c>
      <c r="Z164" s="122">
        <v>0</v>
      </c>
      <c r="AA164" s="123">
        <f>$Z$164*$K$164</f>
        <v>0</v>
      </c>
      <c r="AR164" s="6" t="s">
        <v>147</v>
      </c>
      <c r="AT164" s="6" t="s">
        <v>143</v>
      </c>
      <c r="AU164" s="6" t="s">
        <v>101</v>
      </c>
      <c r="AY164" s="6" t="s">
        <v>142</v>
      </c>
      <c r="BE164" s="76">
        <f>IF($U$164="základní",$N$164,0)</f>
        <v>0</v>
      </c>
      <c r="BF164" s="76">
        <f>IF($U$164="snížená",$N$164,0)</f>
        <v>0</v>
      </c>
      <c r="BG164" s="76">
        <f>IF($U$164="zákl. přenesená",$N$164,0)</f>
        <v>0</v>
      </c>
      <c r="BH164" s="76">
        <f>IF($U$164="sníž. přenesená",$N$164,0)</f>
        <v>0</v>
      </c>
      <c r="BI164" s="76">
        <f>IF($U$164="nulová",$N$164,0)</f>
        <v>0</v>
      </c>
      <c r="BJ164" s="6" t="s">
        <v>17</v>
      </c>
      <c r="BK164" s="76">
        <f>ROUND($L$164*$K$164,2)</f>
        <v>0</v>
      </c>
      <c r="BL164" s="6" t="s">
        <v>147</v>
      </c>
    </row>
    <row r="165" spans="2:64" s="6" customFormat="1" ht="27" customHeight="1">
      <c r="B165" s="20"/>
      <c r="C165" s="117" t="s">
        <v>233</v>
      </c>
      <c r="D165" s="117" t="s">
        <v>143</v>
      </c>
      <c r="E165" s="118" t="s">
        <v>234</v>
      </c>
      <c r="F165" s="190" t="s">
        <v>235</v>
      </c>
      <c r="G165" s="184"/>
      <c r="H165" s="184"/>
      <c r="I165" s="184"/>
      <c r="J165" s="119" t="s">
        <v>146</v>
      </c>
      <c r="K165" s="120">
        <v>32</v>
      </c>
      <c r="L165" s="183">
        <v>0</v>
      </c>
      <c r="M165" s="184"/>
      <c r="N165" s="185">
        <f>ROUND($L$165*$K$165,2)</f>
        <v>0</v>
      </c>
      <c r="O165" s="184"/>
      <c r="P165" s="184"/>
      <c r="Q165" s="184"/>
      <c r="R165" s="21"/>
      <c r="T165" s="121"/>
      <c r="U165" s="27" t="s">
        <v>40</v>
      </c>
      <c r="V165" s="122">
        <v>0.18</v>
      </c>
      <c r="W165" s="122">
        <f>$V$165*$K$165</f>
        <v>5.76</v>
      </c>
      <c r="X165" s="122">
        <v>5E-05</v>
      </c>
      <c r="Y165" s="122">
        <f>$X$165*$K$165</f>
        <v>0.0016</v>
      </c>
      <c r="Z165" s="122">
        <v>0</v>
      </c>
      <c r="AA165" s="123">
        <f>$Z$165*$K$165</f>
        <v>0</v>
      </c>
      <c r="AR165" s="6" t="s">
        <v>147</v>
      </c>
      <c r="AT165" s="6" t="s">
        <v>143</v>
      </c>
      <c r="AU165" s="6" t="s">
        <v>101</v>
      </c>
      <c r="AY165" s="6" t="s">
        <v>142</v>
      </c>
      <c r="BE165" s="76">
        <f>IF($U$165="základní",$N$165,0)</f>
        <v>0</v>
      </c>
      <c r="BF165" s="76">
        <f>IF($U$165="snížená",$N$165,0)</f>
        <v>0</v>
      </c>
      <c r="BG165" s="76">
        <f>IF($U$165="zákl. přenesená",$N$165,0)</f>
        <v>0</v>
      </c>
      <c r="BH165" s="76">
        <f>IF($U$165="sníž. přenesená",$N$165,0)</f>
        <v>0</v>
      </c>
      <c r="BI165" s="76">
        <f>IF($U$165="nulová",$N$165,0)</f>
        <v>0</v>
      </c>
      <c r="BJ165" s="6" t="s">
        <v>17</v>
      </c>
      <c r="BK165" s="76">
        <f>ROUND($L$165*$K$165,2)</f>
        <v>0</v>
      </c>
      <c r="BL165" s="6" t="s">
        <v>147</v>
      </c>
    </row>
    <row r="166" spans="2:51" s="6" customFormat="1" ht="15.75" customHeight="1">
      <c r="B166" s="124"/>
      <c r="E166" s="125"/>
      <c r="F166" s="191" t="s">
        <v>236</v>
      </c>
      <c r="G166" s="192"/>
      <c r="H166" s="192"/>
      <c r="I166" s="192"/>
      <c r="K166" s="126">
        <v>32</v>
      </c>
      <c r="R166" s="127"/>
      <c r="T166" s="128"/>
      <c r="AA166" s="129"/>
      <c r="AT166" s="125" t="s">
        <v>155</v>
      </c>
      <c r="AU166" s="125" t="s">
        <v>101</v>
      </c>
      <c r="AV166" s="125" t="s">
        <v>101</v>
      </c>
      <c r="AW166" s="125" t="s">
        <v>109</v>
      </c>
      <c r="AX166" s="125" t="s">
        <v>75</v>
      </c>
      <c r="AY166" s="125" t="s">
        <v>142</v>
      </c>
    </row>
    <row r="167" spans="2:64" s="6" customFormat="1" ht="15.75" customHeight="1">
      <c r="B167" s="20"/>
      <c r="C167" s="117" t="s">
        <v>237</v>
      </c>
      <c r="D167" s="117" t="s">
        <v>143</v>
      </c>
      <c r="E167" s="118" t="s">
        <v>238</v>
      </c>
      <c r="F167" s="190" t="s">
        <v>239</v>
      </c>
      <c r="G167" s="184"/>
      <c r="H167" s="184"/>
      <c r="I167" s="184"/>
      <c r="J167" s="119" t="s">
        <v>153</v>
      </c>
      <c r="K167" s="120">
        <v>0.048</v>
      </c>
      <c r="L167" s="183">
        <v>0</v>
      </c>
      <c r="M167" s="184"/>
      <c r="N167" s="185">
        <f>ROUND($L$167*$K$167,2)</f>
        <v>0</v>
      </c>
      <c r="O167" s="184"/>
      <c r="P167" s="184"/>
      <c r="Q167" s="184"/>
      <c r="R167" s="21"/>
      <c r="T167" s="121"/>
      <c r="U167" s="27" t="s">
        <v>40</v>
      </c>
      <c r="V167" s="122">
        <v>8.933</v>
      </c>
      <c r="W167" s="122">
        <f>$V$167*$K$167</f>
        <v>0.428784</v>
      </c>
      <c r="X167" s="122">
        <v>0</v>
      </c>
      <c r="Y167" s="122">
        <f>$X$167*$K$167</f>
        <v>0</v>
      </c>
      <c r="Z167" s="122">
        <v>2.4</v>
      </c>
      <c r="AA167" s="123">
        <f>$Z$167*$K$167</f>
        <v>0.1152</v>
      </c>
      <c r="AR167" s="6" t="s">
        <v>147</v>
      </c>
      <c r="AT167" s="6" t="s">
        <v>143</v>
      </c>
      <c r="AU167" s="6" t="s">
        <v>101</v>
      </c>
      <c r="AY167" s="6" t="s">
        <v>142</v>
      </c>
      <c r="BE167" s="76">
        <f>IF($U$167="základní",$N$167,0)</f>
        <v>0</v>
      </c>
      <c r="BF167" s="76">
        <f>IF($U$167="snížená",$N$167,0)</f>
        <v>0</v>
      </c>
      <c r="BG167" s="76">
        <f>IF($U$167="zákl. přenesená",$N$167,0)</f>
        <v>0</v>
      </c>
      <c r="BH167" s="76">
        <f>IF($U$167="sníž. přenesená",$N$167,0)</f>
        <v>0</v>
      </c>
      <c r="BI167" s="76">
        <f>IF($U$167="nulová",$N$167,0)</f>
        <v>0</v>
      </c>
      <c r="BJ167" s="6" t="s">
        <v>17</v>
      </c>
      <c r="BK167" s="76">
        <f>ROUND($L$167*$K$167,2)</f>
        <v>0</v>
      </c>
      <c r="BL167" s="6" t="s">
        <v>147</v>
      </c>
    </row>
    <row r="168" spans="2:51" s="6" customFormat="1" ht="15.75" customHeight="1">
      <c r="B168" s="124"/>
      <c r="E168" s="125"/>
      <c r="F168" s="191" t="s">
        <v>240</v>
      </c>
      <c r="G168" s="192"/>
      <c r="H168" s="192"/>
      <c r="I168" s="192"/>
      <c r="K168" s="126">
        <v>0.048</v>
      </c>
      <c r="R168" s="127"/>
      <c r="T168" s="128"/>
      <c r="AA168" s="129"/>
      <c r="AT168" s="125" t="s">
        <v>155</v>
      </c>
      <c r="AU168" s="125" t="s">
        <v>101</v>
      </c>
      <c r="AV168" s="125" t="s">
        <v>101</v>
      </c>
      <c r="AW168" s="125" t="s">
        <v>109</v>
      </c>
      <c r="AX168" s="125" t="s">
        <v>75</v>
      </c>
      <c r="AY168" s="125" t="s">
        <v>142</v>
      </c>
    </row>
    <row r="169" spans="2:64" s="6" customFormat="1" ht="27" customHeight="1">
      <c r="B169" s="20"/>
      <c r="C169" s="117" t="s">
        <v>241</v>
      </c>
      <c r="D169" s="117" t="s">
        <v>143</v>
      </c>
      <c r="E169" s="118" t="s">
        <v>242</v>
      </c>
      <c r="F169" s="190" t="s">
        <v>243</v>
      </c>
      <c r="G169" s="184"/>
      <c r="H169" s="184"/>
      <c r="I169" s="184"/>
      <c r="J169" s="119" t="s">
        <v>217</v>
      </c>
      <c r="K169" s="120">
        <v>16.01</v>
      </c>
      <c r="L169" s="183">
        <v>0</v>
      </c>
      <c r="M169" s="184"/>
      <c r="N169" s="185">
        <f>ROUND($L$169*$K$169,2)</f>
        <v>0</v>
      </c>
      <c r="O169" s="184"/>
      <c r="P169" s="184"/>
      <c r="Q169" s="184"/>
      <c r="R169" s="21"/>
      <c r="T169" s="121"/>
      <c r="U169" s="27" t="s">
        <v>40</v>
      </c>
      <c r="V169" s="122">
        <v>0.28</v>
      </c>
      <c r="W169" s="122">
        <f>$V$169*$K$169</f>
        <v>4.482800000000001</v>
      </c>
      <c r="X169" s="122">
        <v>0</v>
      </c>
      <c r="Y169" s="122">
        <f>$X$169*$K$169</f>
        <v>0</v>
      </c>
      <c r="Z169" s="122">
        <v>0.04</v>
      </c>
      <c r="AA169" s="123">
        <f>$Z$169*$K$169</f>
        <v>0.6404000000000001</v>
      </c>
      <c r="AR169" s="6" t="s">
        <v>147</v>
      </c>
      <c r="AT169" s="6" t="s">
        <v>143</v>
      </c>
      <c r="AU169" s="6" t="s">
        <v>101</v>
      </c>
      <c r="AY169" s="6" t="s">
        <v>142</v>
      </c>
      <c r="BE169" s="76">
        <f>IF($U$169="základní",$N$169,0)</f>
        <v>0</v>
      </c>
      <c r="BF169" s="76">
        <f>IF($U$169="snížená",$N$169,0)</f>
        <v>0</v>
      </c>
      <c r="BG169" s="76">
        <f>IF($U$169="zákl. přenesená",$N$169,0)</f>
        <v>0</v>
      </c>
      <c r="BH169" s="76">
        <f>IF($U$169="sníž. přenesená",$N$169,0)</f>
        <v>0</v>
      </c>
      <c r="BI169" s="76">
        <f>IF($U$169="nulová",$N$169,0)</f>
        <v>0</v>
      </c>
      <c r="BJ169" s="6" t="s">
        <v>17</v>
      </c>
      <c r="BK169" s="76">
        <f>ROUND($L$169*$K$169,2)</f>
        <v>0</v>
      </c>
      <c r="BL169" s="6" t="s">
        <v>147</v>
      </c>
    </row>
    <row r="170" spans="2:64" s="6" customFormat="1" ht="15.75" customHeight="1">
      <c r="B170" s="20"/>
      <c r="C170" s="117" t="s">
        <v>8</v>
      </c>
      <c r="D170" s="117" t="s">
        <v>143</v>
      </c>
      <c r="E170" s="118" t="s">
        <v>244</v>
      </c>
      <c r="F170" s="190" t="s">
        <v>245</v>
      </c>
      <c r="G170" s="184"/>
      <c r="H170" s="184"/>
      <c r="I170" s="184"/>
      <c r="J170" s="119" t="s">
        <v>217</v>
      </c>
      <c r="K170" s="120">
        <v>16.01</v>
      </c>
      <c r="L170" s="183">
        <v>0</v>
      </c>
      <c r="M170" s="184"/>
      <c r="N170" s="185">
        <f>ROUND($L$170*$K$170,2)</f>
        <v>0</v>
      </c>
      <c r="O170" s="184"/>
      <c r="P170" s="184"/>
      <c r="Q170" s="184"/>
      <c r="R170" s="21"/>
      <c r="T170" s="121"/>
      <c r="U170" s="27" t="s">
        <v>40</v>
      </c>
      <c r="V170" s="122">
        <v>1.35</v>
      </c>
      <c r="W170" s="122">
        <f>$V$170*$K$170</f>
        <v>21.613500000000002</v>
      </c>
      <c r="X170" s="122">
        <v>0</v>
      </c>
      <c r="Y170" s="122">
        <f>$X$170*$K$170</f>
        <v>0</v>
      </c>
      <c r="Z170" s="122">
        <v>0.108</v>
      </c>
      <c r="AA170" s="123">
        <f>$Z$170*$K$170</f>
        <v>1.7290800000000002</v>
      </c>
      <c r="AR170" s="6" t="s">
        <v>147</v>
      </c>
      <c r="AT170" s="6" t="s">
        <v>143</v>
      </c>
      <c r="AU170" s="6" t="s">
        <v>101</v>
      </c>
      <c r="AY170" s="6" t="s">
        <v>142</v>
      </c>
      <c r="BE170" s="76">
        <f>IF($U$170="základní",$N$170,0)</f>
        <v>0</v>
      </c>
      <c r="BF170" s="76">
        <f>IF($U$170="snížená",$N$170,0)</f>
        <v>0</v>
      </c>
      <c r="BG170" s="76">
        <f>IF($U$170="zákl. přenesená",$N$170,0)</f>
        <v>0</v>
      </c>
      <c r="BH170" s="76">
        <f>IF($U$170="sníž. přenesená",$N$170,0)</f>
        <v>0</v>
      </c>
      <c r="BI170" s="76">
        <f>IF($U$170="nulová",$N$170,0)</f>
        <v>0</v>
      </c>
      <c r="BJ170" s="6" t="s">
        <v>17</v>
      </c>
      <c r="BK170" s="76">
        <f>ROUND($L$170*$K$170,2)</f>
        <v>0</v>
      </c>
      <c r="BL170" s="6" t="s">
        <v>147</v>
      </c>
    </row>
    <row r="171" spans="2:64" s="6" customFormat="1" ht="27" customHeight="1">
      <c r="B171" s="20"/>
      <c r="C171" s="117" t="s">
        <v>246</v>
      </c>
      <c r="D171" s="117" t="s">
        <v>143</v>
      </c>
      <c r="E171" s="118" t="s">
        <v>247</v>
      </c>
      <c r="F171" s="190" t="s">
        <v>248</v>
      </c>
      <c r="G171" s="184"/>
      <c r="H171" s="184"/>
      <c r="I171" s="184"/>
      <c r="J171" s="119" t="s">
        <v>217</v>
      </c>
      <c r="K171" s="120">
        <v>6</v>
      </c>
      <c r="L171" s="183">
        <v>0</v>
      </c>
      <c r="M171" s="184"/>
      <c r="N171" s="185">
        <f>ROUND($L$171*$K$171,2)</f>
        <v>0</v>
      </c>
      <c r="O171" s="184"/>
      <c r="P171" s="184"/>
      <c r="Q171" s="184"/>
      <c r="R171" s="21"/>
      <c r="T171" s="121"/>
      <c r="U171" s="27" t="s">
        <v>40</v>
      </c>
      <c r="V171" s="122">
        <v>1.9</v>
      </c>
      <c r="W171" s="122">
        <f>$V$171*$K$171</f>
        <v>11.399999999999999</v>
      </c>
      <c r="X171" s="122">
        <v>0.00118</v>
      </c>
      <c r="Y171" s="122">
        <f>$X$171*$K$171</f>
        <v>0.00708</v>
      </c>
      <c r="Z171" s="122">
        <v>0.07</v>
      </c>
      <c r="AA171" s="123">
        <f>$Z$171*$K$171</f>
        <v>0.42000000000000004</v>
      </c>
      <c r="AR171" s="6" t="s">
        <v>147</v>
      </c>
      <c r="AT171" s="6" t="s">
        <v>143</v>
      </c>
      <c r="AU171" s="6" t="s">
        <v>101</v>
      </c>
      <c r="AY171" s="6" t="s">
        <v>142</v>
      </c>
      <c r="BE171" s="76">
        <f>IF($U$171="základní",$N$171,0)</f>
        <v>0</v>
      </c>
      <c r="BF171" s="76">
        <f>IF($U$171="snížená",$N$171,0)</f>
        <v>0</v>
      </c>
      <c r="BG171" s="76">
        <f>IF($U$171="zákl. přenesená",$N$171,0)</f>
        <v>0</v>
      </c>
      <c r="BH171" s="76">
        <f>IF($U$171="sníž. přenesená",$N$171,0)</f>
        <v>0</v>
      </c>
      <c r="BI171" s="76">
        <f>IF($U$171="nulová",$N$171,0)</f>
        <v>0</v>
      </c>
      <c r="BJ171" s="6" t="s">
        <v>17</v>
      </c>
      <c r="BK171" s="76">
        <f>ROUND($L$171*$K$171,2)</f>
        <v>0</v>
      </c>
      <c r="BL171" s="6" t="s">
        <v>147</v>
      </c>
    </row>
    <row r="172" spans="2:64" s="6" customFormat="1" ht="15.75" customHeight="1">
      <c r="B172" s="20"/>
      <c r="C172" s="117" t="s">
        <v>249</v>
      </c>
      <c r="D172" s="117" t="s">
        <v>143</v>
      </c>
      <c r="E172" s="118" t="s">
        <v>250</v>
      </c>
      <c r="F172" s="190" t="s">
        <v>251</v>
      </c>
      <c r="G172" s="184"/>
      <c r="H172" s="184"/>
      <c r="I172" s="184"/>
      <c r="J172" s="119" t="s">
        <v>217</v>
      </c>
      <c r="K172" s="120">
        <v>3.5</v>
      </c>
      <c r="L172" s="183">
        <v>0</v>
      </c>
      <c r="M172" s="184"/>
      <c r="N172" s="185">
        <f>ROUND($L$172*$K$172,2)</f>
        <v>0</v>
      </c>
      <c r="O172" s="184"/>
      <c r="P172" s="184"/>
      <c r="Q172" s="184"/>
      <c r="R172" s="21"/>
      <c r="T172" s="121"/>
      <c r="U172" s="27" t="s">
        <v>40</v>
      </c>
      <c r="V172" s="122">
        <v>6</v>
      </c>
      <c r="W172" s="122">
        <f>$V$172*$K$172</f>
        <v>21</v>
      </c>
      <c r="X172" s="122">
        <v>0.00435</v>
      </c>
      <c r="Y172" s="122">
        <f>$X$172*$K$172</f>
        <v>0.015224999999999999</v>
      </c>
      <c r="Z172" s="122">
        <v>0.384</v>
      </c>
      <c r="AA172" s="123">
        <f>$Z$172*$K$172</f>
        <v>1.344</v>
      </c>
      <c r="AR172" s="6" t="s">
        <v>147</v>
      </c>
      <c r="AT172" s="6" t="s">
        <v>143</v>
      </c>
      <c r="AU172" s="6" t="s">
        <v>101</v>
      </c>
      <c r="AY172" s="6" t="s">
        <v>142</v>
      </c>
      <c r="BE172" s="76">
        <f>IF($U$172="základní",$N$172,0)</f>
        <v>0</v>
      </c>
      <c r="BF172" s="76">
        <f>IF($U$172="snížená",$N$172,0)</f>
        <v>0</v>
      </c>
      <c r="BG172" s="76">
        <f>IF($U$172="zákl. přenesená",$N$172,0)</f>
        <v>0</v>
      </c>
      <c r="BH172" s="76">
        <f>IF($U$172="sníž. přenesená",$N$172,0)</f>
        <v>0</v>
      </c>
      <c r="BI172" s="76">
        <f>IF($U$172="nulová",$N$172,0)</f>
        <v>0</v>
      </c>
      <c r="BJ172" s="6" t="s">
        <v>17</v>
      </c>
      <c r="BK172" s="76">
        <f>ROUND($L$172*$K$172,2)</f>
        <v>0</v>
      </c>
      <c r="BL172" s="6" t="s">
        <v>147</v>
      </c>
    </row>
    <row r="173" spans="2:51" s="6" customFormat="1" ht="15.75" customHeight="1">
      <c r="B173" s="124"/>
      <c r="E173" s="125"/>
      <c r="F173" s="191" t="s">
        <v>252</v>
      </c>
      <c r="G173" s="192"/>
      <c r="H173" s="192"/>
      <c r="I173" s="192"/>
      <c r="K173" s="126">
        <v>3.5</v>
      </c>
      <c r="R173" s="127"/>
      <c r="T173" s="128"/>
      <c r="AA173" s="129"/>
      <c r="AT173" s="125" t="s">
        <v>155</v>
      </c>
      <c r="AU173" s="125" t="s">
        <v>101</v>
      </c>
      <c r="AV173" s="125" t="s">
        <v>101</v>
      </c>
      <c r="AW173" s="125" t="s">
        <v>109</v>
      </c>
      <c r="AX173" s="125" t="s">
        <v>75</v>
      </c>
      <c r="AY173" s="125" t="s">
        <v>142</v>
      </c>
    </row>
    <row r="174" spans="2:64" s="6" customFormat="1" ht="27" customHeight="1">
      <c r="B174" s="20"/>
      <c r="C174" s="117" t="s">
        <v>253</v>
      </c>
      <c r="D174" s="117" t="s">
        <v>143</v>
      </c>
      <c r="E174" s="118" t="s">
        <v>254</v>
      </c>
      <c r="F174" s="190" t="s">
        <v>255</v>
      </c>
      <c r="G174" s="184"/>
      <c r="H174" s="184"/>
      <c r="I174" s="184"/>
      <c r="J174" s="119" t="s">
        <v>174</v>
      </c>
      <c r="K174" s="120">
        <v>50.912</v>
      </c>
      <c r="L174" s="183">
        <v>0</v>
      </c>
      <c r="M174" s="184"/>
      <c r="N174" s="185">
        <f>ROUND($L$174*$K$174,2)</f>
        <v>0</v>
      </c>
      <c r="O174" s="184"/>
      <c r="P174" s="184"/>
      <c r="Q174" s="184"/>
      <c r="R174" s="21"/>
      <c r="T174" s="121"/>
      <c r="U174" s="27" t="s">
        <v>40</v>
      </c>
      <c r="V174" s="122">
        <v>0.18</v>
      </c>
      <c r="W174" s="122">
        <f>$V$174*$K$174</f>
        <v>9.164159999999999</v>
      </c>
      <c r="X174" s="122">
        <v>0</v>
      </c>
      <c r="Y174" s="122">
        <f>$X$174*$K$174</f>
        <v>0</v>
      </c>
      <c r="Z174" s="122">
        <v>0.046</v>
      </c>
      <c r="AA174" s="123">
        <f>$Z$174*$K$174</f>
        <v>2.341952</v>
      </c>
      <c r="AR174" s="6" t="s">
        <v>147</v>
      </c>
      <c r="AT174" s="6" t="s">
        <v>143</v>
      </c>
      <c r="AU174" s="6" t="s">
        <v>101</v>
      </c>
      <c r="AY174" s="6" t="s">
        <v>142</v>
      </c>
      <c r="BE174" s="76">
        <f>IF($U$174="základní",$N$174,0)</f>
        <v>0</v>
      </c>
      <c r="BF174" s="76">
        <f>IF($U$174="snížená",$N$174,0)</f>
        <v>0</v>
      </c>
      <c r="BG174" s="76">
        <f>IF($U$174="zákl. přenesená",$N$174,0)</f>
        <v>0</v>
      </c>
      <c r="BH174" s="76">
        <f>IF($U$174="sníž. přenesená",$N$174,0)</f>
        <v>0</v>
      </c>
      <c r="BI174" s="76">
        <f>IF($U$174="nulová",$N$174,0)</f>
        <v>0</v>
      </c>
      <c r="BJ174" s="6" t="s">
        <v>17</v>
      </c>
      <c r="BK174" s="76">
        <f>ROUND($L$174*$K$174,2)</f>
        <v>0</v>
      </c>
      <c r="BL174" s="6" t="s">
        <v>147</v>
      </c>
    </row>
    <row r="175" spans="2:64" s="6" customFormat="1" ht="27" customHeight="1">
      <c r="B175" s="20"/>
      <c r="C175" s="117" t="s">
        <v>256</v>
      </c>
      <c r="D175" s="117" t="s">
        <v>143</v>
      </c>
      <c r="E175" s="118" t="s">
        <v>257</v>
      </c>
      <c r="F175" s="190" t="s">
        <v>258</v>
      </c>
      <c r="G175" s="184"/>
      <c r="H175" s="184"/>
      <c r="I175" s="184"/>
      <c r="J175" s="119" t="s">
        <v>217</v>
      </c>
      <c r="K175" s="120">
        <v>3.5</v>
      </c>
      <c r="L175" s="183">
        <v>0</v>
      </c>
      <c r="M175" s="184"/>
      <c r="N175" s="185">
        <f>ROUND($L$175*$K$175,2)</f>
        <v>0</v>
      </c>
      <c r="O175" s="184"/>
      <c r="P175" s="184"/>
      <c r="Q175" s="184"/>
      <c r="R175" s="21"/>
      <c r="T175" s="121"/>
      <c r="U175" s="27" t="s">
        <v>40</v>
      </c>
      <c r="V175" s="122">
        <v>0.192</v>
      </c>
      <c r="W175" s="122">
        <f>$V$175*$K$175</f>
        <v>0.672</v>
      </c>
      <c r="X175" s="122">
        <v>0</v>
      </c>
      <c r="Y175" s="122">
        <f>$X$175*$K$175</f>
        <v>0</v>
      </c>
      <c r="Z175" s="122">
        <v>0</v>
      </c>
      <c r="AA175" s="123">
        <f>$Z$175*$K$175</f>
        <v>0</v>
      </c>
      <c r="AR175" s="6" t="s">
        <v>147</v>
      </c>
      <c r="AT175" s="6" t="s">
        <v>143</v>
      </c>
      <c r="AU175" s="6" t="s">
        <v>101</v>
      </c>
      <c r="AY175" s="6" t="s">
        <v>142</v>
      </c>
      <c r="BE175" s="76">
        <f>IF($U$175="základní",$N$175,0)</f>
        <v>0</v>
      </c>
      <c r="BF175" s="76">
        <f>IF($U$175="snížená",$N$175,0)</f>
        <v>0</v>
      </c>
      <c r="BG175" s="76">
        <f>IF($U$175="zákl. přenesená",$N$175,0)</f>
        <v>0</v>
      </c>
      <c r="BH175" s="76">
        <f>IF($U$175="sníž. přenesená",$N$175,0)</f>
        <v>0</v>
      </c>
      <c r="BI175" s="76">
        <f>IF($U$175="nulová",$N$175,0)</f>
        <v>0</v>
      </c>
      <c r="BJ175" s="6" t="s">
        <v>17</v>
      </c>
      <c r="BK175" s="76">
        <f>ROUND($L$175*$K$175,2)</f>
        <v>0</v>
      </c>
      <c r="BL175" s="6" t="s">
        <v>147</v>
      </c>
    </row>
    <row r="176" spans="2:64" s="6" customFormat="1" ht="27" customHeight="1">
      <c r="B176" s="20"/>
      <c r="C176" s="117" t="s">
        <v>259</v>
      </c>
      <c r="D176" s="117" t="s">
        <v>143</v>
      </c>
      <c r="E176" s="118" t="s">
        <v>260</v>
      </c>
      <c r="F176" s="190" t="s">
        <v>261</v>
      </c>
      <c r="G176" s="184"/>
      <c r="H176" s="184"/>
      <c r="I176" s="184"/>
      <c r="J176" s="119" t="s">
        <v>153</v>
      </c>
      <c r="K176" s="120">
        <v>0.1</v>
      </c>
      <c r="L176" s="183">
        <v>0</v>
      </c>
      <c r="M176" s="184"/>
      <c r="N176" s="185">
        <f>ROUND($L$176*$K$176,2)</f>
        <v>0</v>
      </c>
      <c r="O176" s="184"/>
      <c r="P176" s="184"/>
      <c r="Q176" s="184"/>
      <c r="R176" s="21"/>
      <c r="T176" s="121"/>
      <c r="U176" s="27" t="s">
        <v>40</v>
      </c>
      <c r="V176" s="122">
        <v>15.727</v>
      </c>
      <c r="W176" s="122">
        <f>$V$176*$K$176</f>
        <v>1.5727000000000002</v>
      </c>
      <c r="X176" s="122">
        <v>2.588</v>
      </c>
      <c r="Y176" s="122">
        <f>$X$176*$K$176</f>
        <v>0.25880000000000003</v>
      </c>
      <c r="Z176" s="122">
        <v>1.95</v>
      </c>
      <c r="AA176" s="123">
        <f>$Z$176*$K$176</f>
        <v>0.195</v>
      </c>
      <c r="AR176" s="6" t="s">
        <v>147</v>
      </c>
      <c r="AT176" s="6" t="s">
        <v>143</v>
      </c>
      <c r="AU176" s="6" t="s">
        <v>101</v>
      </c>
      <c r="AY176" s="6" t="s">
        <v>142</v>
      </c>
      <c r="BE176" s="76">
        <f>IF($U$176="základní",$N$176,0)</f>
        <v>0</v>
      </c>
      <c r="BF176" s="76">
        <f>IF($U$176="snížená",$N$176,0)</f>
        <v>0</v>
      </c>
      <c r="BG176" s="76">
        <f>IF($U$176="zákl. přenesená",$N$176,0)</f>
        <v>0</v>
      </c>
      <c r="BH176" s="76">
        <f>IF($U$176="sníž. přenesená",$N$176,0)</f>
        <v>0</v>
      </c>
      <c r="BI176" s="76">
        <f>IF($U$176="nulová",$N$176,0)</f>
        <v>0</v>
      </c>
      <c r="BJ176" s="6" t="s">
        <v>17</v>
      </c>
      <c r="BK176" s="76">
        <f>ROUND($L$176*$K$176,2)</f>
        <v>0</v>
      </c>
      <c r="BL176" s="6" t="s">
        <v>147</v>
      </c>
    </row>
    <row r="177" spans="2:64" s="6" customFormat="1" ht="27" customHeight="1">
      <c r="B177" s="20"/>
      <c r="C177" s="130" t="s">
        <v>262</v>
      </c>
      <c r="D177" s="130" t="s">
        <v>211</v>
      </c>
      <c r="E177" s="131" t="s">
        <v>263</v>
      </c>
      <c r="F177" s="193" t="s">
        <v>264</v>
      </c>
      <c r="G177" s="194"/>
      <c r="H177" s="194"/>
      <c r="I177" s="194"/>
      <c r="J177" s="132" t="s">
        <v>153</v>
      </c>
      <c r="K177" s="133">
        <v>0.1</v>
      </c>
      <c r="L177" s="195">
        <v>0</v>
      </c>
      <c r="M177" s="194"/>
      <c r="N177" s="196">
        <f>ROUND($L$177*$K$177,2)</f>
        <v>0</v>
      </c>
      <c r="O177" s="184"/>
      <c r="P177" s="184"/>
      <c r="Q177" s="184"/>
      <c r="R177" s="21"/>
      <c r="T177" s="121"/>
      <c r="U177" s="27" t="s">
        <v>40</v>
      </c>
      <c r="V177" s="122">
        <v>0</v>
      </c>
      <c r="W177" s="122">
        <f>$V$177*$K$177</f>
        <v>0</v>
      </c>
      <c r="X177" s="122">
        <v>2.429</v>
      </c>
      <c r="Y177" s="122">
        <f>$X$177*$K$177</f>
        <v>0.2429</v>
      </c>
      <c r="Z177" s="122">
        <v>0</v>
      </c>
      <c r="AA177" s="123">
        <f>$Z$177*$K$177</f>
        <v>0</v>
      </c>
      <c r="AR177" s="6" t="s">
        <v>202</v>
      </c>
      <c r="AT177" s="6" t="s">
        <v>211</v>
      </c>
      <c r="AU177" s="6" t="s">
        <v>101</v>
      </c>
      <c r="AY177" s="6" t="s">
        <v>142</v>
      </c>
      <c r="BE177" s="76">
        <f>IF($U$177="základní",$N$177,0)</f>
        <v>0</v>
      </c>
      <c r="BF177" s="76">
        <f>IF($U$177="snížená",$N$177,0)</f>
        <v>0</v>
      </c>
      <c r="BG177" s="76">
        <f>IF($U$177="zákl. přenesená",$N$177,0)</f>
        <v>0</v>
      </c>
      <c r="BH177" s="76">
        <f>IF($U$177="sníž. přenesená",$N$177,0)</f>
        <v>0</v>
      </c>
      <c r="BI177" s="76">
        <f>IF($U$177="nulová",$N$177,0)</f>
        <v>0</v>
      </c>
      <c r="BJ177" s="6" t="s">
        <v>17</v>
      </c>
      <c r="BK177" s="76">
        <f>ROUND($L$177*$K$177,2)</f>
        <v>0</v>
      </c>
      <c r="BL177" s="6" t="s">
        <v>147</v>
      </c>
    </row>
    <row r="178" spans="2:64" s="6" customFormat="1" ht="27" customHeight="1">
      <c r="B178" s="20"/>
      <c r="C178" s="117" t="s">
        <v>7</v>
      </c>
      <c r="D178" s="117" t="s">
        <v>143</v>
      </c>
      <c r="E178" s="118" t="s">
        <v>265</v>
      </c>
      <c r="F178" s="190" t="s">
        <v>266</v>
      </c>
      <c r="G178" s="184"/>
      <c r="H178" s="184"/>
      <c r="I178" s="184"/>
      <c r="J178" s="119" t="s">
        <v>174</v>
      </c>
      <c r="K178" s="120">
        <v>58.276</v>
      </c>
      <c r="L178" s="183">
        <v>0</v>
      </c>
      <c r="M178" s="184"/>
      <c r="N178" s="185">
        <f>ROUND($L$178*$K$178,2)</f>
        <v>0</v>
      </c>
      <c r="O178" s="184"/>
      <c r="P178" s="184"/>
      <c r="Q178" s="184"/>
      <c r="R178" s="21"/>
      <c r="T178" s="121"/>
      <c r="U178" s="27" t="s">
        <v>40</v>
      </c>
      <c r="V178" s="122">
        <v>0.548</v>
      </c>
      <c r="W178" s="122">
        <f>$V$178*$K$178</f>
        <v>31.935248000000005</v>
      </c>
      <c r="X178" s="122">
        <v>0.00116</v>
      </c>
      <c r="Y178" s="122">
        <f>$X$178*$K$178</f>
        <v>0.06760016</v>
      </c>
      <c r="Z178" s="122">
        <v>0</v>
      </c>
      <c r="AA178" s="123">
        <f>$Z$178*$K$178</f>
        <v>0</v>
      </c>
      <c r="AR178" s="6" t="s">
        <v>147</v>
      </c>
      <c r="AT178" s="6" t="s">
        <v>143</v>
      </c>
      <c r="AU178" s="6" t="s">
        <v>101</v>
      </c>
      <c r="AY178" s="6" t="s">
        <v>142</v>
      </c>
      <c r="BE178" s="76">
        <f>IF($U$178="základní",$N$178,0)</f>
        <v>0</v>
      </c>
      <c r="BF178" s="76">
        <f>IF($U$178="snížená",$N$178,0)</f>
        <v>0</v>
      </c>
      <c r="BG178" s="76">
        <f>IF($U$178="zákl. přenesená",$N$178,0)</f>
        <v>0</v>
      </c>
      <c r="BH178" s="76">
        <f>IF($U$178="sníž. přenesená",$N$178,0)</f>
        <v>0</v>
      </c>
      <c r="BI178" s="76">
        <f>IF($U$178="nulová",$N$178,0)</f>
        <v>0</v>
      </c>
      <c r="BJ178" s="6" t="s">
        <v>17</v>
      </c>
      <c r="BK178" s="76">
        <f>ROUND($L$178*$K$178,2)</f>
        <v>0</v>
      </c>
      <c r="BL178" s="6" t="s">
        <v>147</v>
      </c>
    </row>
    <row r="179" spans="2:51" s="6" customFormat="1" ht="15.75" customHeight="1">
      <c r="B179" s="124"/>
      <c r="E179" s="125"/>
      <c r="F179" s="191" t="s">
        <v>267</v>
      </c>
      <c r="G179" s="192"/>
      <c r="H179" s="192"/>
      <c r="I179" s="192"/>
      <c r="K179" s="126">
        <v>58.276</v>
      </c>
      <c r="R179" s="127"/>
      <c r="T179" s="128"/>
      <c r="AA179" s="129"/>
      <c r="AT179" s="125" t="s">
        <v>155</v>
      </c>
      <c r="AU179" s="125" t="s">
        <v>101</v>
      </c>
      <c r="AV179" s="125" t="s">
        <v>101</v>
      </c>
      <c r="AW179" s="125" t="s">
        <v>109</v>
      </c>
      <c r="AX179" s="125" t="s">
        <v>75</v>
      </c>
      <c r="AY179" s="125" t="s">
        <v>142</v>
      </c>
    </row>
    <row r="180" spans="2:64" s="6" customFormat="1" ht="27" customHeight="1">
      <c r="B180" s="20"/>
      <c r="C180" s="117" t="s">
        <v>268</v>
      </c>
      <c r="D180" s="117" t="s">
        <v>143</v>
      </c>
      <c r="E180" s="118" t="s">
        <v>269</v>
      </c>
      <c r="F180" s="190" t="s">
        <v>270</v>
      </c>
      <c r="G180" s="184"/>
      <c r="H180" s="184"/>
      <c r="I180" s="184"/>
      <c r="J180" s="119" t="s">
        <v>174</v>
      </c>
      <c r="K180" s="120">
        <v>38.424</v>
      </c>
      <c r="L180" s="183">
        <v>0</v>
      </c>
      <c r="M180" s="184"/>
      <c r="N180" s="185">
        <f>ROUND($L$180*$K$180,2)</f>
        <v>0</v>
      </c>
      <c r="O180" s="184"/>
      <c r="P180" s="184"/>
      <c r="Q180" s="184"/>
      <c r="R180" s="21"/>
      <c r="T180" s="121"/>
      <c r="U180" s="27" t="s">
        <v>40</v>
      </c>
      <c r="V180" s="122">
        <v>0.728</v>
      </c>
      <c r="W180" s="122">
        <f>$V$180*$K$180</f>
        <v>27.972672</v>
      </c>
      <c r="X180" s="122">
        <v>0.0693</v>
      </c>
      <c r="Y180" s="122">
        <f>$X$180*$K$180</f>
        <v>2.6627832</v>
      </c>
      <c r="Z180" s="122">
        <v>0.007</v>
      </c>
      <c r="AA180" s="123">
        <f>$Z$180*$K$180</f>
        <v>0.268968</v>
      </c>
      <c r="AR180" s="6" t="s">
        <v>147</v>
      </c>
      <c r="AT180" s="6" t="s">
        <v>143</v>
      </c>
      <c r="AU180" s="6" t="s">
        <v>101</v>
      </c>
      <c r="AY180" s="6" t="s">
        <v>142</v>
      </c>
      <c r="BE180" s="76">
        <f>IF($U$180="základní",$N$180,0)</f>
        <v>0</v>
      </c>
      <c r="BF180" s="76">
        <f>IF($U$180="snížená",$N$180,0)</f>
        <v>0</v>
      </c>
      <c r="BG180" s="76">
        <f>IF($U$180="zákl. přenesená",$N$180,0)</f>
        <v>0</v>
      </c>
      <c r="BH180" s="76">
        <f>IF($U$180="sníž. přenesená",$N$180,0)</f>
        <v>0</v>
      </c>
      <c r="BI180" s="76">
        <f>IF($U$180="nulová",$N$180,0)</f>
        <v>0</v>
      </c>
      <c r="BJ180" s="6" t="s">
        <v>17</v>
      </c>
      <c r="BK180" s="76">
        <f>ROUND($L$180*$K$180,2)</f>
        <v>0</v>
      </c>
      <c r="BL180" s="6" t="s">
        <v>147</v>
      </c>
    </row>
    <row r="181" spans="2:51" s="6" customFormat="1" ht="15.75" customHeight="1">
      <c r="B181" s="124"/>
      <c r="E181" s="125"/>
      <c r="F181" s="191" t="s">
        <v>271</v>
      </c>
      <c r="G181" s="192"/>
      <c r="H181" s="192"/>
      <c r="I181" s="192"/>
      <c r="K181" s="126">
        <v>38.424</v>
      </c>
      <c r="R181" s="127"/>
      <c r="T181" s="128"/>
      <c r="AA181" s="129"/>
      <c r="AT181" s="125" t="s">
        <v>155</v>
      </c>
      <c r="AU181" s="125" t="s">
        <v>101</v>
      </c>
      <c r="AV181" s="125" t="s">
        <v>101</v>
      </c>
      <c r="AW181" s="125" t="s">
        <v>109</v>
      </c>
      <c r="AX181" s="125" t="s">
        <v>75</v>
      </c>
      <c r="AY181" s="125" t="s">
        <v>142</v>
      </c>
    </row>
    <row r="182" spans="2:64" s="6" customFormat="1" ht="27" customHeight="1">
      <c r="B182" s="20"/>
      <c r="C182" s="117" t="s">
        <v>272</v>
      </c>
      <c r="D182" s="117" t="s">
        <v>143</v>
      </c>
      <c r="E182" s="118" t="s">
        <v>273</v>
      </c>
      <c r="F182" s="190" t="s">
        <v>274</v>
      </c>
      <c r="G182" s="184"/>
      <c r="H182" s="184"/>
      <c r="I182" s="184"/>
      <c r="J182" s="119" t="s">
        <v>174</v>
      </c>
      <c r="K182" s="120">
        <v>268.968</v>
      </c>
      <c r="L182" s="183">
        <v>0</v>
      </c>
      <c r="M182" s="184"/>
      <c r="N182" s="185">
        <f>ROUND($L$182*$K$182,2)</f>
        <v>0</v>
      </c>
      <c r="O182" s="184"/>
      <c r="P182" s="184"/>
      <c r="Q182" s="184"/>
      <c r="R182" s="21"/>
      <c r="T182" s="121"/>
      <c r="U182" s="27" t="s">
        <v>40</v>
      </c>
      <c r="V182" s="122">
        <v>0.215</v>
      </c>
      <c r="W182" s="122">
        <f>$V$182*$K$182</f>
        <v>57.828120000000006</v>
      </c>
      <c r="X182" s="122">
        <v>0.0231</v>
      </c>
      <c r="Y182" s="122">
        <f>$X$182*$K$182</f>
        <v>6.2131608</v>
      </c>
      <c r="Z182" s="122">
        <v>0.0023</v>
      </c>
      <c r="AA182" s="123">
        <f>$Z$182*$K$182</f>
        <v>0.6186264</v>
      </c>
      <c r="AR182" s="6" t="s">
        <v>147</v>
      </c>
      <c r="AT182" s="6" t="s">
        <v>143</v>
      </c>
      <c r="AU182" s="6" t="s">
        <v>101</v>
      </c>
      <c r="AY182" s="6" t="s">
        <v>142</v>
      </c>
      <c r="BE182" s="76">
        <f>IF($U$182="základní",$N$182,0)</f>
        <v>0</v>
      </c>
      <c r="BF182" s="76">
        <f>IF($U$182="snížená",$N$182,0)</f>
        <v>0</v>
      </c>
      <c r="BG182" s="76">
        <f>IF($U$182="zákl. přenesená",$N$182,0)</f>
        <v>0</v>
      </c>
      <c r="BH182" s="76">
        <f>IF($U$182="sníž. přenesená",$N$182,0)</f>
        <v>0</v>
      </c>
      <c r="BI182" s="76">
        <f>IF($U$182="nulová",$N$182,0)</f>
        <v>0</v>
      </c>
      <c r="BJ182" s="6" t="s">
        <v>17</v>
      </c>
      <c r="BK182" s="76">
        <f>ROUND($L$182*$K$182,2)</f>
        <v>0</v>
      </c>
      <c r="BL182" s="6" t="s">
        <v>147</v>
      </c>
    </row>
    <row r="183" spans="2:51" s="6" customFormat="1" ht="15.75" customHeight="1">
      <c r="B183" s="124"/>
      <c r="E183" s="125"/>
      <c r="F183" s="191" t="s">
        <v>275</v>
      </c>
      <c r="G183" s="192"/>
      <c r="H183" s="192"/>
      <c r="I183" s="192"/>
      <c r="K183" s="126">
        <v>268.968</v>
      </c>
      <c r="R183" s="127"/>
      <c r="T183" s="128"/>
      <c r="AA183" s="129"/>
      <c r="AT183" s="125" t="s">
        <v>155</v>
      </c>
      <c r="AU183" s="125" t="s">
        <v>101</v>
      </c>
      <c r="AV183" s="125" t="s">
        <v>101</v>
      </c>
      <c r="AW183" s="125" t="s">
        <v>109</v>
      </c>
      <c r="AX183" s="125" t="s">
        <v>75</v>
      </c>
      <c r="AY183" s="125" t="s">
        <v>142</v>
      </c>
    </row>
    <row r="184" spans="2:64" s="6" customFormat="1" ht="39" customHeight="1">
      <c r="B184" s="20"/>
      <c r="C184" s="117" t="s">
        <v>276</v>
      </c>
      <c r="D184" s="117" t="s">
        <v>143</v>
      </c>
      <c r="E184" s="118" t="s">
        <v>277</v>
      </c>
      <c r="F184" s="190" t="s">
        <v>278</v>
      </c>
      <c r="G184" s="184"/>
      <c r="H184" s="184"/>
      <c r="I184" s="184"/>
      <c r="J184" s="119" t="s">
        <v>174</v>
      </c>
      <c r="K184" s="120">
        <v>38.424</v>
      </c>
      <c r="L184" s="183">
        <v>0</v>
      </c>
      <c r="M184" s="184"/>
      <c r="N184" s="185">
        <f>ROUND($L$184*$K$184,2)</f>
        <v>0</v>
      </c>
      <c r="O184" s="184"/>
      <c r="P184" s="184"/>
      <c r="Q184" s="184"/>
      <c r="R184" s="21"/>
      <c r="T184" s="121"/>
      <c r="U184" s="27" t="s">
        <v>40</v>
      </c>
      <c r="V184" s="122">
        <v>0.479</v>
      </c>
      <c r="W184" s="122">
        <f>$V$184*$K$184</f>
        <v>18.405096</v>
      </c>
      <c r="X184" s="122">
        <v>0.00538</v>
      </c>
      <c r="Y184" s="122">
        <f>$X$184*$K$184</f>
        <v>0.20672112</v>
      </c>
      <c r="Z184" s="122">
        <v>0</v>
      </c>
      <c r="AA184" s="123">
        <f>$Z$184*$K$184</f>
        <v>0</v>
      </c>
      <c r="AR184" s="6" t="s">
        <v>147</v>
      </c>
      <c r="AT184" s="6" t="s">
        <v>143</v>
      </c>
      <c r="AU184" s="6" t="s">
        <v>101</v>
      </c>
      <c r="AY184" s="6" t="s">
        <v>142</v>
      </c>
      <c r="BE184" s="76">
        <f>IF($U$184="základní",$N$184,0)</f>
        <v>0</v>
      </c>
      <c r="BF184" s="76">
        <f>IF($U$184="snížená",$N$184,0)</f>
        <v>0</v>
      </c>
      <c r="BG184" s="76">
        <f>IF($U$184="zákl. přenesená",$N$184,0)</f>
        <v>0</v>
      </c>
      <c r="BH184" s="76">
        <f>IF($U$184="sníž. přenesená",$N$184,0)</f>
        <v>0</v>
      </c>
      <c r="BI184" s="76">
        <f>IF($U$184="nulová",$N$184,0)</f>
        <v>0</v>
      </c>
      <c r="BJ184" s="6" t="s">
        <v>17</v>
      </c>
      <c r="BK184" s="76">
        <f>ROUND($L$184*$K$184,2)</f>
        <v>0</v>
      </c>
      <c r="BL184" s="6" t="s">
        <v>147</v>
      </c>
    </row>
    <row r="185" spans="2:64" s="6" customFormat="1" ht="27" customHeight="1">
      <c r="B185" s="20"/>
      <c r="C185" s="117" t="s">
        <v>279</v>
      </c>
      <c r="D185" s="117" t="s">
        <v>143</v>
      </c>
      <c r="E185" s="118" t="s">
        <v>280</v>
      </c>
      <c r="F185" s="190" t="s">
        <v>281</v>
      </c>
      <c r="G185" s="184"/>
      <c r="H185" s="184"/>
      <c r="I185" s="184"/>
      <c r="J185" s="119" t="s">
        <v>146</v>
      </c>
      <c r="K185" s="120">
        <v>153.696</v>
      </c>
      <c r="L185" s="183">
        <v>0</v>
      </c>
      <c r="M185" s="184"/>
      <c r="N185" s="185">
        <f>ROUND($L$185*$K$185,2)</f>
        <v>0</v>
      </c>
      <c r="O185" s="184"/>
      <c r="P185" s="184"/>
      <c r="Q185" s="184"/>
      <c r="R185" s="21"/>
      <c r="T185" s="121"/>
      <c r="U185" s="27" t="s">
        <v>40</v>
      </c>
      <c r="V185" s="122">
        <v>0.297</v>
      </c>
      <c r="W185" s="122">
        <f>$V$185*$K$185</f>
        <v>45.647712</v>
      </c>
      <c r="X185" s="122">
        <v>0.00025</v>
      </c>
      <c r="Y185" s="122">
        <f>$X$185*$K$185</f>
        <v>0.038424</v>
      </c>
      <c r="Z185" s="122">
        <v>0</v>
      </c>
      <c r="AA185" s="123">
        <f>$Z$185*$K$185</f>
        <v>0</v>
      </c>
      <c r="AR185" s="6" t="s">
        <v>147</v>
      </c>
      <c r="AT185" s="6" t="s">
        <v>143</v>
      </c>
      <c r="AU185" s="6" t="s">
        <v>101</v>
      </c>
      <c r="AY185" s="6" t="s">
        <v>142</v>
      </c>
      <c r="BE185" s="76">
        <f>IF($U$185="základní",$N$185,0)</f>
        <v>0</v>
      </c>
      <c r="BF185" s="76">
        <f>IF($U$185="snížená",$N$185,0)</f>
        <v>0</v>
      </c>
      <c r="BG185" s="76">
        <f>IF($U$185="zákl. přenesená",$N$185,0)</f>
        <v>0</v>
      </c>
      <c r="BH185" s="76">
        <f>IF($U$185="sníž. přenesená",$N$185,0)</f>
        <v>0</v>
      </c>
      <c r="BI185" s="76">
        <f>IF($U$185="nulová",$N$185,0)</f>
        <v>0</v>
      </c>
      <c r="BJ185" s="6" t="s">
        <v>17</v>
      </c>
      <c r="BK185" s="76">
        <f>ROUND($L$185*$K$185,2)</f>
        <v>0</v>
      </c>
      <c r="BL185" s="6" t="s">
        <v>147</v>
      </c>
    </row>
    <row r="186" spans="2:51" s="6" customFormat="1" ht="15.75" customHeight="1">
      <c r="B186" s="124"/>
      <c r="E186" s="125"/>
      <c r="F186" s="191" t="s">
        <v>282</v>
      </c>
      <c r="G186" s="192"/>
      <c r="H186" s="192"/>
      <c r="I186" s="192"/>
      <c r="K186" s="126">
        <v>153.696</v>
      </c>
      <c r="R186" s="127"/>
      <c r="T186" s="128"/>
      <c r="AA186" s="129"/>
      <c r="AT186" s="125" t="s">
        <v>155</v>
      </c>
      <c r="AU186" s="125" t="s">
        <v>101</v>
      </c>
      <c r="AV186" s="125" t="s">
        <v>101</v>
      </c>
      <c r="AW186" s="125" t="s">
        <v>109</v>
      </c>
      <c r="AX186" s="125" t="s">
        <v>75</v>
      </c>
      <c r="AY186" s="125" t="s">
        <v>142</v>
      </c>
    </row>
    <row r="187" spans="2:64" s="6" customFormat="1" ht="39" customHeight="1">
      <c r="B187" s="20"/>
      <c r="C187" s="117" t="s">
        <v>283</v>
      </c>
      <c r="D187" s="117" t="s">
        <v>143</v>
      </c>
      <c r="E187" s="118" t="s">
        <v>284</v>
      </c>
      <c r="F187" s="190" t="s">
        <v>285</v>
      </c>
      <c r="G187" s="184"/>
      <c r="H187" s="184"/>
      <c r="I187" s="184"/>
      <c r="J187" s="119" t="s">
        <v>205</v>
      </c>
      <c r="K187" s="120">
        <v>7.673</v>
      </c>
      <c r="L187" s="183">
        <v>0</v>
      </c>
      <c r="M187" s="184"/>
      <c r="N187" s="185">
        <f>ROUND($L$187*$K$187,2)</f>
        <v>0</v>
      </c>
      <c r="O187" s="184"/>
      <c r="P187" s="184"/>
      <c r="Q187" s="184"/>
      <c r="R187" s="21"/>
      <c r="T187" s="121"/>
      <c r="U187" s="27" t="s">
        <v>40</v>
      </c>
      <c r="V187" s="122">
        <v>0.08</v>
      </c>
      <c r="W187" s="122">
        <f>$V$187*$K$187</f>
        <v>0.61384</v>
      </c>
      <c r="X187" s="122">
        <v>0</v>
      </c>
      <c r="Y187" s="122">
        <f>$X$187*$K$187</f>
        <v>0</v>
      </c>
      <c r="Z187" s="122">
        <v>0</v>
      </c>
      <c r="AA187" s="123">
        <f>$Z$187*$K$187</f>
        <v>0</v>
      </c>
      <c r="AR187" s="6" t="s">
        <v>147</v>
      </c>
      <c r="AT187" s="6" t="s">
        <v>143</v>
      </c>
      <c r="AU187" s="6" t="s">
        <v>101</v>
      </c>
      <c r="AY187" s="6" t="s">
        <v>142</v>
      </c>
      <c r="BE187" s="76">
        <f>IF($U$187="základní",$N$187,0)</f>
        <v>0</v>
      </c>
      <c r="BF187" s="76">
        <f>IF($U$187="snížená",$N$187,0)</f>
        <v>0</v>
      </c>
      <c r="BG187" s="76">
        <f>IF($U$187="zákl. přenesená",$N$187,0)</f>
        <v>0</v>
      </c>
      <c r="BH187" s="76">
        <f>IF($U$187="sníž. přenesená",$N$187,0)</f>
        <v>0</v>
      </c>
      <c r="BI187" s="76">
        <f>IF($U$187="nulová",$N$187,0)</f>
        <v>0</v>
      </c>
      <c r="BJ187" s="6" t="s">
        <v>17</v>
      </c>
      <c r="BK187" s="76">
        <f>ROUND($L$187*$K$187,2)</f>
        <v>0</v>
      </c>
      <c r="BL187" s="6" t="s">
        <v>147</v>
      </c>
    </row>
    <row r="188" spans="2:64" s="6" customFormat="1" ht="27" customHeight="1">
      <c r="B188" s="20"/>
      <c r="C188" s="117" t="s">
        <v>286</v>
      </c>
      <c r="D188" s="117" t="s">
        <v>143</v>
      </c>
      <c r="E188" s="118" t="s">
        <v>287</v>
      </c>
      <c r="F188" s="190" t="s">
        <v>288</v>
      </c>
      <c r="G188" s="184"/>
      <c r="H188" s="184"/>
      <c r="I188" s="184"/>
      <c r="J188" s="119" t="s">
        <v>205</v>
      </c>
      <c r="K188" s="120">
        <v>191.825</v>
      </c>
      <c r="L188" s="183">
        <v>0</v>
      </c>
      <c r="M188" s="184"/>
      <c r="N188" s="185">
        <f>ROUND($L$188*$K$188,2)</f>
        <v>0</v>
      </c>
      <c r="O188" s="184"/>
      <c r="P188" s="184"/>
      <c r="Q188" s="184"/>
      <c r="R188" s="21"/>
      <c r="T188" s="121"/>
      <c r="U188" s="27" t="s">
        <v>40</v>
      </c>
      <c r="V188" s="122">
        <v>0.014</v>
      </c>
      <c r="W188" s="122">
        <f>$V$188*$K$188</f>
        <v>2.68555</v>
      </c>
      <c r="X188" s="122">
        <v>0</v>
      </c>
      <c r="Y188" s="122">
        <f>$X$188*$K$188</f>
        <v>0</v>
      </c>
      <c r="Z188" s="122">
        <v>0</v>
      </c>
      <c r="AA188" s="123">
        <f>$Z$188*$K$188</f>
        <v>0</v>
      </c>
      <c r="AR188" s="6" t="s">
        <v>147</v>
      </c>
      <c r="AT188" s="6" t="s">
        <v>143</v>
      </c>
      <c r="AU188" s="6" t="s">
        <v>101</v>
      </c>
      <c r="AY188" s="6" t="s">
        <v>142</v>
      </c>
      <c r="BE188" s="76">
        <f>IF($U$188="základní",$N$188,0)</f>
        <v>0</v>
      </c>
      <c r="BF188" s="76">
        <f>IF($U$188="snížená",$N$188,0)</f>
        <v>0</v>
      </c>
      <c r="BG188" s="76">
        <f>IF($U$188="zákl. přenesená",$N$188,0)</f>
        <v>0</v>
      </c>
      <c r="BH188" s="76">
        <f>IF($U$188="sníž. přenesená",$N$188,0)</f>
        <v>0</v>
      </c>
      <c r="BI188" s="76">
        <f>IF($U$188="nulová",$N$188,0)</f>
        <v>0</v>
      </c>
      <c r="BJ188" s="6" t="s">
        <v>17</v>
      </c>
      <c r="BK188" s="76">
        <f>ROUND($L$188*$K$188,2)</f>
        <v>0</v>
      </c>
      <c r="BL188" s="6" t="s">
        <v>147</v>
      </c>
    </row>
    <row r="189" spans="2:64" s="6" customFormat="1" ht="39" customHeight="1">
      <c r="B189" s="20"/>
      <c r="C189" s="117" t="s">
        <v>289</v>
      </c>
      <c r="D189" s="117" t="s">
        <v>143</v>
      </c>
      <c r="E189" s="118" t="s">
        <v>290</v>
      </c>
      <c r="F189" s="190" t="s">
        <v>291</v>
      </c>
      <c r="G189" s="184"/>
      <c r="H189" s="184"/>
      <c r="I189" s="184"/>
      <c r="J189" s="119" t="s">
        <v>205</v>
      </c>
      <c r="K189" s="120">
        <v>7.673</v>
      </c>
      <c r="L189" s="183">
        <v>0</v>
      </c>
      <c r="M189" s="184"/>
      <c r="N189" s="185">
        <f>ROUND($L$189*$K$189,2)</f>
        <v>0</v>
      </c>
      <c r="O189" s="184"/>
      <c r="P189" s="184"/>
      <c r="Q189" s="184"/>
      <c r="R189" s="21"/>
      <c r="T189" s="121"/>
      <c r="U189" s="27" t="s">
        <v>40</v>
      </c>
      <c r="V189" s="122">
        <v>1.569</v>
      </c>
      <c r="W189" s="122">
        <f>$V$189*$K$189</f>
        <v>12.038936999999999</v>
      </c>
      <c r="X189" s="122">
        <v>0</v>
      </c>
      <c r="Y189" s="122">
        <f>$X$189*$K$189</f>
        <v>0</v>
      </c>
      <c r="Z189" s="122">
        <v>0</v>
      </c>
      <c r="AA189" s="123">
        <f>$Z$189*$K$189</f>
        <v>0</v>
      </c>
      <c r="AR189" s="6" t="s">
        <v>147</v>
      </c>
      <c r="AT189" s="6" t="s">
        <v>143</v>
      </c>
      <c r="AU189" s="6" t="s">
        <v>101</v>
      </c>
      <c r="AY189" s="6" t="s">
        <v>142</v>
      </c>
      <c r="BE189" s="76">
        <f>IF($U$189="základní",$N$189,0)</f>
        <v>0</v>
      </c>
      <c r="BF189" s="76">
        <f>IF($U$189="snížená",$N$189,0)</f>
        <v>0</v>
      </c>
      <c r="BG189" s="76">
        <f>IF($U$189="zákl. přenesená",$N$189,0)</f>
        <v>0</v>
      </c>
      <c r="BH189" s="76">
        <f>IF($U$189="sníž. přenesená",$N$189,0)</f>
        <v>0</v>
      </c>
      <c r="BI189" s="76">
        <f>IF($U$189="nulová",$N$189,0)</f>
        <v>0</v>
      </c>
      <c r="BJ189" s="6" t="s">
        <v>17</v>
      </c>
      <c r="BK189" s="76">
        <f>ROUND($L$189*$K$189,2)</f>
        <v>0</v>
      </c>
      <c r="BL189" s="6" t="s">
        <v>147</v>
      </c>
    </row>
    <row r="190" spans="2:64" s="6" customFormat="1" ht="27" customHeight="1">
      <c r="B190" s="20"/>
      <c r="C190" s="117" t="s">
        <v>292</v>
      </c>
      <c r="D190" s="117" t="s">
        <v>143</v>
      </c>
      <c r="E190" s="118" t="s">
        <v>293</v>
      </c>
      <c r="F190" s="190" t="s">
        <v>294</v>
      </c>
      <c r="G190" s="184"/>
      <c r="H190" s="184"/>
      <c r="I190" s="184"/>
      <c r="J190" s="119" t="s">
        <v>205</v>
      </c>
      <c r="K190" s="120">
        <v>7.673</v>
      </c>
      <c r="L190" s="183">
        <v>0</v>
      </c>
      <c r="M190" s="184"/>
      <c r="N190" s="185">
        <f>ROUND($L$190*$K$190,2)</f>
        <v>0</v>
      </c>
      <c r="O190" s="184"/>
      <c r="P190" s="184"/>
      <c r="Q190" s="184"/>
      <c r="R190" s="21"/>
      <c r="T190" s="121"/>
      <c r="U190" s="27" t="s">
        <v>40</v>
      </c>
      <c r="V190" s="122">
        <v>0</v>
      </c>
      <c r="W190" s="122">
        <f>$V$190*$K$190</f>
        <v>0</v>
      </c>
      <c r="X190" s="122">
        <v>0</v>
      </c>
      <c r="Y190" s="122">
        <f>$X$190*$K$190</f>
        <v>0</v>
      </c>
      <c r="Z190" s="122">
        <v>0</v>
      </c>
      <c r="AA190" s="123">
        <f>$Z$190*$K$190</f>
        <v>0</v>
      </c>
      <c r="AR190" s="6" t="s">
        <v>147</v>
      </c>
      <c r="AT190" s="6" t="s">
        <v>143</v>
      </c>
      <c r="AU190" s="6" t="s">
        <v>101</v>
      </c>
      <c r="AY190" s="6" t="s">
        <v>142</v>
      </c>
      <c r="BE190" s="76">
        <f>IF($U$190="základní",$N$190,0)</f>
        <v>0</v>
      </c>
      <c r="BF190" s="76">
        <f>IF($U$190="snížená",$N$190,0)</f>
        <v>0</v>
      </c>
      <c r="BG190" s="76">
        <f>IF($U$190="zákl. přenesená",$N$190,0)</f>
        <v>0</v>
      </c>
      <c r="BH190" s="76">
        <f>IF($U$190="sníž. přenesená",$N$190,0)</f>
        <v>0</v>
      </c>
      <c r="BI190" s="76">
        <f>IF($U$190="nulová",$N$190,0)</f>
        <v>0</v>
      </c>
      <c r="BJ190" s="6" t="s">
        <v>17</v>
      </c>
      <c r="BK190" s="76">
        <f>ROUND($L$190*$K$190,2)</f>
        <v>0</v>
      </c>
      <c r="BL190" s="6" t="s">
        <v>147</v>
      </c>
    </row>
    <row r="191" spans="2:63" s="107" customFormat="1" ht="23.25" customHeight="1">
      <c r="B191" s="108"/>
      <c r="D191" s="116" t="s">
        <v>116</v>
      </c>
      <c r="N191" s="189">
        <f>$BK$191</f>
        <v>0</v>
      </c>
      <c r="O191" s="188"/>
      <c r="P191" s="188"/>
      <c r="Q191" s="188"/>
      <c r="R191" s="111"/>
      <c r="T191" s="112"/>
      <c r="W191" s="113">
        <f>$W$192</f>
        <v>104.15836000000002</v>
      </c>
      <c r="Y191" s="113">
        <f>$Y$192</f>
        <v>0</v>
      </c>
      <c r="AA191" s="114">
        <f>$AA$192</f>
        <v>0</v>
      </c>
      <c r="AR191" s="110" t="s">
        <v>17</v>
      </c>
      <c r="AT191" s="110" t="s">
        <v>74</v>
      </c>
      <c r="AU191" s="110" t="s">
        <v>101</v>
      </c>
      <c r="AY191" s="110" t="s">
        <v>142</v>
      </c>
      <c r="BK191" s="115">
        <f>$BK$192</f>
        <v>0</v>
      </c>
    </row>
    <row r="192" spans="2:64" s="6" customFormat="1" ht="27" customHeight="1">
      <c r="B192" s="20"/>
      <c r="C192" s="117" t="s">
        <v>295</v>
      </c>
      <c r="D192" s="117" t="s">
        <v>143</v>
      </c>
      <c r="E192" s="118" t="s">
        <v>296</v>
      </c>
      <c r="F192" s="190" t="s">
        <v>297</v>
      </c>
      <c r="G192" s="184"/>
      <c r="H192" s="184"/>
      <c r="I192" s="184"/>
      <c r="J192" s="119" t="s">
        <v>205</v>
      </c>
      <c r="K192" s="120">
        <v>19.007</v>
      </c>
      <c r="L192" s="183">
        <v>0</v>
      </c>
      <c r="M192" s="184"/>
      <c r="N192" s="185">
        <f>ROUND($L$192*$K$192,2)</f>
        <v>0</v>
      </c>
      <c r="O192" s="184"/>
      <c r="P192" s="184"/>
      <c r="Q192" s="184"/>
      <c r="R192" s="21"/>
      <c r="T192" s="121"/>
      <c r="U192" s="27" t="s">
        <v>40</v>
      </c>
      <c r="V192" s="122">
        <v>5.48</v>
      </c>
      <c r="W192" s="122">
        <f>$V$192*$K$192</f>
        <v>104.15836000000002</v>
      </c>
      <c r="X192" s="122">
        <v>0</v>
      </c>
      <c r="Y192" s="122">
        <f>$X$192*$K$192</f>
        <v>0</v>
      </c>
      <c r="Z192" s="122">
        <v>0</v>
      </c>
      <c r="AA192" s="123">
        <f>$Z$192*$K$192</f>
        <v>0</v>
      </c>
      <c r="AR192" s="6" t="s">
        <v>147</v>
      </c>
      <c r="AT192" s="6" t="s">
        <v>143</v>
      </c>
      <c r="AU192" s="6" t="s">
        <v>159</v>
      </c>
      <c r="AY192" s="6" t="s">
        <v>142</v>
      </c>
      <c r="BE192" s="76">
        <f>IF($U$192="základní",$N$192,0)</f>
        <v>0</v>
      </c>
      <c r="BF192" s="76">
        <f>IF($U$192="snížená",$N$192,0)</f>
        <v>0</v>
      </c>
      <c r="BG192" s="76">
        <f>IF($U$192="zákl. přenesená",$N$192,0)</f>
        <v>0</v>
      </c>
      <c r="BH192" s="76">
        <f>IF($U$192="sníž. přenesená",$N$192,0)</f>
        <v>0</v>
      </c>
      <c r="BI192" s="76">
        <f>IF($U$192="nulová",$N$192,0)</f>
        <v>0</v>
      </c>
      <c r="BJ192" s="6" t="s">
        <v>17</v>
      </c>
      <c r="BK192" s="76">
        <f>ROUND($L$192*$K$192,2)</f>
        <v>0</v>
      </c>
      <c r="BL192" s="6" t="s">
        <v>147</v>
      </c>
    </row>
    <row r="193" spans="2:63" s="6" customFormat="1" ht="51" customHeight="1">
      <c r="B193" s="20"/>
      <c r="D193" s="109" t="s">
        <v>298</v>
      </c>
      <c r="N193" s="187">
        <f>$BK$193</f>
        <v>0</v>
      </c>
      <c r="O193" s="150"/>
      <c r="P193" s="150"/>
      <c r="Q193" s="150"/>
      <c r="R193" s="21"/>
      <c r="T193" s="51"/>
      <c r="AA193" s="52"/>
      <c r="AT193" s="6" t="s">
        <v>74</v>
      </c>
      <c r="AU193" s="6" t="s">
        <v>75</v>
      </c>
      <c r="AY193" s="6" t="s">
        <v>299</v>
      </c>
      <c r="BK193" s="76">
        <f>SUM($BK$194:$BK$198)</f>
        <v>0</v>
      </c>
    </row>
    <row r="194" spans="2:63" s="6" customFormat="1" ht="23.25" customHeight="1">
      <c r="B194" s="20"/>
      <c r="C194" s="134"/>
      <c r="D194" s="134" t="s">
        <v>143</v>
      </c>
      <c r="E194" s="135"/>
      <c r="F194" s="181"/>
      <c r="G194" s="182"/>
      <c r="H194" s="182"/>
      <c r="I194" s="182"/>
      <c r="J194" s="136"/>
      <c r="K194" s="120"/>
      <c r="L194" s="183"/>
      <c r="M194" s="184"/>
      <c r="N194" s="185">
        <f>$BK$194</f>
        <v>0</v>
      </c>
      <c r="O194" s="184"/>
      <c r="P194" s="184"/>
      <c r="Q194" s="184"/>
      <c r="R194" s="21"/>
      <c r="T194" s="121"/>
      <c r="U194" s="137" t="s">
        <v>40</v>
      </c>
      <c r="AA194" s="52"/>
      <c r="AT194" s="6" t="s">
        <v>299</v>
      </c>
      <c r="AU194" s="6" t="s">
        <v>17</v>
      </c>
      <c r="AY194" s="6" t="s">
        <v>299</v>
      </c>
      <c r="BE194" s="76">
        <f>IF($U$194="základní",$N$194,0)</f>
        <v>0</v>
      </c>
      <c r="BF194" s="76">
        <f>IF($U$194="snížená",$N$194,0)</f>
        <v>0</v>
      </c>
      <c r="BG194" s="76">
        <f>IF($U$194="zákl. přenesená",$N$194,0)</f>
        <v>0</v>
      </c>
      <c r="BH194" s="76">
        <f>IF($U$194="sníž. přenesená",$N$194,0)</f>
        <v>0</v>
      </c>
      <c r="BI194" s="76">
        <f>IF($U$194="nulová",$N$194,0)</f>
        <v>0</v>
      </c>
      <c r="BJ194" s="6" t="s">
        <v>17</v>
      </c>
      <c r="BK194" s="76">
        <f>$L$194*$K$194</f>
        <v>0</v>
      </c>
    </row>
    <row r="195" spans="2:63" s="6" customFormat="1" ht="23.25" customHeight="1">
      <c r="B195" s="20"/>
      <c r="C195" s="134"/>
      <c r="D195" s="134" t="s">
        <v>143</v>
      </c>
      <c r="E195" s="135"/>
      <c r="F195" s="181"/>
      <c r="G195" s="182"/>
      <c r="H195" s="182"/>
      <c r="I195" s="182"/>
      <c r="J195" s="136"/>
      <c r="K195" s="120"/>
      <c r="L195" s="183"/>
      <c r="M195" s="184"/>
      <c r="N195" s="185">
        <f>$BK$195</f>
        <v>0</v>
      </c>
      <c r="O195" s="184"/>
      <c r="P195" s="184"/>
      <c r="Q195" s="184"/>
      <c r="R195" s="21"/>
      <c r="T195" s="121"/>
      <c r="U195" s="137" t="s">
        <v>40</v>
      </c>
      <c r="AA195" s="52"/>
      <c r="AT195" s="6" t="s">
        <v>299</v>
      </c>
      <c r="AU195" s="6" t="s">
        <v>17</v>
      </c>
      <c r="AY195" s="6" t="s">
        <v>299</v>
      </c>
      <c r="BE195" s="76">
        <f>IF($U$195="základní",$N$195,0)</f>
        <v>0</v>
      </c>
      <c r="BF195" s="76">
        <f>IF($U$195="snížená",$N$195,0)</f>
        <v>0</v>
      </c>
      <c r="BG195" s="76">
        <f>IF($U$195="zákl. přenesená",$N$195,0)</f>
        <v>0</v>
      </c>
      <c r="BH195" s="76">
        <f>IF($U$195="sníž. přenesená",$N$195,0)</f>
        <v>0</v>
      </c>
      <c r="BI195" s="76">
        <f>IF($U$195="nulová",$N$195,0)</f>
        <v>0</v>
      </c>
      <c r="BJ195" s="6" t="s">
        <v>17</v>
      </c>
      <c r="BK195" s="76">
        <f>$L$195*$K$195</f>
        <v>0</v>
      </c>
    </row>
    <row r="196" spans="2:63" s="6" customFormat="1" ht="23.25" customHeight="1">
      <c r="B196" s="20"/>
      <c r="C196" s="134"/>
      <c r="D196" s="134" t="s">
        <v>143</v>
      </c>
      <c r="E196" s="135"/>
      <c r="F196" s="181"/>
      <c r="G196" s="182"/>
      <c r="H196" s="182"/>
      <c r="I196" s="182"/>
      <c r="J196" s="136"/>
      <c r="K196" s="120"/>
      <c r="L196" s="183"/>
      <c r="M196" s="184"/>
      <c r="N196" s="185">
        <f>$BK$196</f>
        <v>0</v>
      </c>
      <c r="O196" s="184"/>
      <c r="P196" s="184"/>
      <c r="Q196" s="184"/>
      <c r="R196" s="21"/>
      <c r="T196" s="121"/>
      <c r="U196" s="137" t="s">
        <v>40</v>
      </c>
      <c r="AA196" s="52"/>
      <c r="AT196" s="6" t="s">
        <v>299</v>
      </c>
      <c r="AU196" s="6" t="s">
        <v>17</v>
      </c>
      <c r="AY196" s="6" t="s">
        <v>299</v>
      </c>
      <c r="BE196" s="76">
        <f>IF($U$196="základní",$N$196,0)</f>
        <v>0</v>
      </c>
      <c r="BF196" s="76">
        <f>IF($U$196="snížená",$N$196,0)</f>
        <v>0</v>
      </c>
      <c r="BG196" s="76">
        <f>IF($U$196="zákl. přenesená",$N$196,0)</f>
        <v>0</v>
      </c>
      <c r="BH196" s="76">
        <f>IF($U$196="sníž. přenesená",$N$196,0)</f>
        <v>0</v>
      </c>
      <c r="BI196" s="76">
        <f>IF($U$196="nulová",$N$196,0)</f>
        <v>0</v>
      </c>
      <c r="BJ196" s="6" t="s">
        <v>17</v>
      </c>
      <c r="BK196" s="76">
        <f>$L$196*$K$196</f>
        <v>0</v>
      </c>
    </row>
    <row r="197" spans="2:63" s="6" customFormat="1" ht="23.25" customHeight="1">
      <c r="B197" s="20"/>
      <c r="C197" s="134"/>
      <c r="D197" s="134" t="s">
        <v>143</v>
      </c>
      <c r="E197" s="135"/>
      <c r="F197" s="181"/>
      <c r="G197" s="182"/>
      <c r="H197" s="182"/>
      <c r="I197" s="182"/>
      <c r="J197" s="136"/>
      <c r="K197" s="120"/>
      <c r="L197" s="183"/>
      <c r="M197" s="184"/>
      <c r="N197" s="185">
        <f>$BK$197</f>
        <v>0</v>
      </c>
      <c r="O197" s="184"/>
      <c r="P197" s="184"/>
      <c r="Q197" s="184"/>
      <c r="R197" s="21"/>
      <c r="T197" s="121"/>
      <c r="U197" s="137" t="s">
        <v>40</v>
      </c>
      <c r="AA197" s="52"/>
      <c r="AT197" s="6" t="s">
        <v>299</v>
      </c>
      <c r="AU197" s="6" t="s">
        <v>17</v>
      </c>
      <c r="AY197" s="6" t="s">
        <v>299</v>
      </c>
      <c r="BE197" s="76">
        <f>IF($U$197="základní",$N$197,0)</f>
        <v>0</v>
      </c>
      <c r="BF197" s="76">
        <f>IF($U$197="snížená",$N$197,0)</f>
        <v>0</v>
      </c>
      <c r="BG197" s="76">
        <f>IF($U$197="zákl. přenesená",$N$197,0)</f>
        <v>0</v>
      </c>
      <c r="BH197" s="76">
        <f>IF($U$197="sníž. přenesená",$N$197,0)</f>
        <v>0</v>
      </c>
      <c r="BI197" s="76">
        <f>IF($U$197="nulová",$N$197,0)</f>
        <v>0</v>
      </c>
      <c r="BJ197" s="6" t="s">
        <v>17</v>
      </c>
      <c r="BK197" s="76">
        <f>$L$197*$K$197</f>
        <v>0</v>
      </c>
    </row>
    <row r="198" spans="2:63" s="6" customFormat="1" ht="23.25" customHeight="1">
      <c r="B198" s="20"/>
      <c r="C198" s="134"/>
      <c r="D198" s="134" t="s">
        <v>143</v>
      </c>
      <c r="E198" s="135"/>
      <c r="F198" s="181"/>
      <c r="G198" s="182"/>
      <c r="H198" s="182"/>
      <c r="I198" s="182"/>
      <c r="J198" s="136"/>
      <c r="K198" s="120"/>
      <c r="L198" s="183"/>
      <c r="M198" s="184"/>
      <c r="N198" s="185">
        <f>$BK$198</f>
        <v>0</v>
      </c>
      <c r="O198" s="184"/>
      <c r="P198" s="184"/>
      <c r="Q198" s="184"/>
      <c r="R198" s="21"/>
      <c r="T198" s="121"/>
      <c r="U198" s="137" t="s">
        <v>40</v>
      </c>
      <c r="V198" s="39"/>
      <c r="W198" s="39"/>
      <c r="X198" s="39"/>
      <c r="Y198" s="39"/>
      <c r="Z198" s="39"/>
      <c r="AA198" s="41"/>
      <c r="AT198" s="6" t="s">
        <v>299</v>
      </c>
      <c r="AU198" s="6" t="s">
        <v>17</v>
      </c>
      <c r="AY198" s="6" t="s">
        <v>299</v>
      </c>
      <c r="BE198" s="76">
        <f>IF($U$198="základní",$N$198,0)</f>
        <v>0</v>
      </c>
      <c r="BF198" s="76">
        <f>IF($U$198="snížená",$N$198,0)</f>
        <v>0</v>
      </c>
      <c r="BG198" s="76">
        <f>IF($U$198="zákl. přenesená",$N$198,0)</f>
        <v>0</v>
      </c>
      <c r="BH198" s="76">
        <f>IF($U$198="sníž. přenesená",$N$198,0)</f>
        <v>0</v>
      </c>
      <c r="BI198" s="76">
        <f>IF($U$198="nulová",$N$198,0)</f>
        <v>0</v>
      </c>
      <c r="BJ198" s="6" t="s">
        <v>17</v>
      </c>
      <c r="BK198" s="76">
        <f>$L$198*$K$198</f>
        <v>0</v>
      </c>
    </row>
    <row r="199" spans="2:18" s="6" customFormat="1" ht="7.5" customHeight="1"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4"/>
    </row>
    <row r="200" s="2" customFormat="1" ht="14.25" customHeight="1"/>
  </sheetData>
  <sheetProtection/>
  <mergeCells count="24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1:I141"/>
    <mergeCell ref="L141:M141"/>
    <mergeCell ref="N141:Q141"/>
    <mergeCell ref="N140:Q140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N192:Q192"/>
    <mergeCell ref="N191:Q191"/>
    <mergeCell ref="F188:I188"/>
    <mergeCell ref="L188:M188"/>
    <mergeCell ref="N188:Q188"/>
    <mergeCell ref="F189:I189"/>
    <mergeCell ref="L189:M189"/>
    <mergeCell ref="N189:Q189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N161:Q161"/>
    <mergeCell ref="F196:I196"/>
    <mergeCell ref="L196:M196"/>
    <mergeCell ref="N196:Q196"/>
    <mergeCell ref="F190:I190"/>
    <mergeCell ref="L190:M190"/>
    <mergeCell ref="N190:Q190"/>
    <mergeCell ref="F192:I192"/>
    <mergeCell ref="N193:Q193"/>
    <mergeCell ref="L192:M192"/>
    <mergeCell ref="H1:K1"/>
    <mergeCell ref="S2:AC2"/>
    <mergeCell ref="F198:I198"/>
    <mergeCell ref="L198:M198"/>
    <mergeCell ref="N198:Q198"/>
    <mergeCell ref="N123:Q123"/>
    <mergeCell ref="N124:Q124"/>
    <mergeCell ref="N125:Q125"/>
    <mergeCell ref="N134:Q134"/>
    <mergeCell ref="N158:Q158"/>
  </mergeCells>
  <dataValidations count="2">
    <dataValidation type="list" allowBlank="1" showInputMessage="1" showErrorMessage="1" error="Povoleny jsou hodnoty K a M." sqref="D194:D199">
      <formula1>"K,M"</formula1>
    </dataValidation>
    <dataValidation type="list" allowBlank="1" showInputMessage="1" showErrorMessage="1" error="Povoleny jsou hodnoty základní, snížená, zákl. přenesená, sníž. přenesená, nulová." sqref="U194:U19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2013-04-25T10:13:49Z</cp:lastPrinted>
  <dcterms:modified xsi:type="dcterms:W3CDTF">2013-04-25T10:19:17Z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