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630" yWindow="600" windowWidth="27495" windowHeight="11955"/>
  </bookViews>
  <sheets>
    <sheet name="sR" sheetId="5" r:id="rId1"/>
    <sheet name="Krycí list rozpočtu" sheetId="3" r:id="rId2"/>
    <sheet name="Rozpočet - Jen podskupiny" sheetId="2" r:id="rId3"/>
    <sheet name="Stavební rozpočet" sheetId="1" r:id="rId4"/>
    <sheet name="VORN" sheetId="4" state="hidden" r:id="rId5"/>
  </sheets>
  <definedNames>
    <definedName name="_xlnm.Print_Area" localSheetId="1">'Krycí list rozpočtu'!$A$1:$I$38</definedName>
    <definedName name="_xlnm.Print_Area" localSheetId="2">'Rozpočet - Jen podskupiny'!$A$1:$L$29</definedName>
    <definedName name="_xlnm.Print_Area" localSheetId="0">sR!$A$51:$E$98,sR!$A$1:$E$49</definedName>
    <definedName name="_xlnm.Print_Area" localSheetId="3">'Stavební rozpočet'!$A$1:$P$211</definedName>
    <definedName name="vorn_sum">VORN!$I$36</definedName>
  </definedNames>
  <calcPr calcId="125725" iterateCount="1"/>
</workbook>
</file>

<file path=xl/calcChain.xml><?xml version="1.0" encoding="utf-8"?>
<calcChain xmlns="http://schemas.openxmlformats.org/spreadsheetml/2006/main">
  <c r="BW97" i="1"/>
  <c r="BJ97"/>
  <c r="BD97"/>
  <c r="AP97"/>
  <c r="AX97" s="1"/>
  <c r="AO97"/>
  <c r="BH97" s="1"/>
  <c r="AB97" s="1"/>
  <c r="AK97"/>
  <c r="AJ97"/>
  <c r="AH97"/>
  <c r="AG97"/>
  <c r="AF97"/>
  <c r="AE97"/>
  <c r="AD97"/>
  <c r="Z97"/>
  <c r="O97"/>
  <c r="BF97" s="1"/>
  <c r="L97"/>
  <c r="AL97" s="1"/>
  <c r="BW95"/>
  <c r="BD95"/>
  <c r="AP95"/>
  <c r="AO95"/>
  <c r="AK95"/>
  <c r="AJ95"/>
  <c r="AH95"/>
  <c r="AG95"/>
  <c r="AF95"/>
  <c r="AE95"/>
  <c r="AD95"/>
  <c r="Z95"/>
  <c r="BW93"/>
  <c r="BD93"/>
  <c r="AP93"/>
  <c r="AO93"/>
  <c r="AK93"/>
  <c r="AJ93"/>
  <c r="AH93"/>
  <c r="AG93"/>
  <c r="AF93"/>
  <c r="AE93"/>
  <c r="AD93"/>
  <c r="Z93"/>
  <c r="BW73"/>
  <c r="AK73"/>
  <c r="AJ73"/>
  <c r="AH73"/>
  <c r="AG73"/>
  <c r="AF73"/>
  <c r="AE73"/>
  <c r="AD73"/>
  <c r="Z73"/>
  <c r="O73"/>
  <c r="BF73" s="1"/>
  <c r="BW143"/>
  <c r="BJ143"/>
  <c r="BD143"/>
  <c r="AP143"/>
  <c r="AX143" s="1"/>
  <c r="AO143"/>
  <c r="BH143" s="1"/>
  <c r="AB143" s="1"/>
  <c r="AK143"/>
  <c r="AJ143"/>
  <c r="AH143"/>
  <c r="AG143"/>
  <c r="AF143"/>
  <c r="AE143"/>
  <c r="AD143"/>
  <c r="Z143"/>
  <c r="O143"/>
  <c r="BF143" s="1"/>
  <c r="L143"/>
  <c r="AL143" s="1"/>
  <c r="K143"/>
  <c r="J143"/>
  <c r="I24" i="4"/>
  <c r="A16" i="1"/>
  <c r="A20" s="1"/>
  <c r="A25" s="1"/>
  <c r="A30" s="1"/>
  <c r="A35" s="1"/>
  <c r="A39" s="1"/>
  <c r="A41" s="1"/>
  <c r="A44" s="1"/>
  <c r="A47" s="1"/>
  <c r="A49" s="1"/>
  <c r="A51" s="1"/>
  <c r="A53" s="1"/>
  <c r="A55" s="1"/>
  <c r="A57" s="1"/>
  <c r="A59" s="1"/>
  <c r="A61" s="1"/>
  <c r="A63" s="1"/>
  <c r="A65" s="1"/>
  <c r="A67" s="1"/>
  <c r="A69" s="1"/>
  <c r="A71" s="1"/>
  <c r="BW88"/>
  <c r="AK88"/>
  <c r="AJ88"/>
  <c r="AH88"/>
  <c r="AG88"/>
  <c r="AF88"/>
  <c r="AE88"/>
  <c r="AD88"/>
  <c r="Z88"/>
  <c r="O88"/>
  <c r="BF88" s="1"/>
  <c r="A54" i="5"/>
  <c r="A53"/>
  <c r="E43"/>
  <c r="L95" i="1" l="1"/>
  <c r="AL95" s="1"/>
  <c r="BJ95"/>
  <c r="O95"/>
  <c r="BF95" s="1"/>
  <c r="J95"/>
  <c r="K95"/>
  <c r="BJ93"/>
  <c r="L93"/>
  <c r="AL93" s="1"/>
  <c r="AX93"/>
  <c r="BI95"/>
  <c r="AC95" s="1"/>
  <c r="J97"/>
  <c r="AW95"/>
  <c r="K93"/>
  <c r="O93"/>
  <c r="BF93" s="1"/>
  <c r="BH93"/>
  <c r="AB93" s="1"/>
  <c r="J93"/>
  <c r="AW93"/>
  <c r="K97"/>
  <c r="AX95"/>
  <c r="M97"/>
  <c r="A73"/>
  <c r="A74" s="1"/>
  <c r="A76" s="1"/>
  <c r="A80" s="1"/>
  <c r="A82" s="1"/>
  <c r="A85" s="1"/>
  <c r="A86" s="1"/>
  <c r="A87" s="1"/>
  <c r="A88" s="1"/>
  <c r="A90" s="1"/>
  <c r="BI93"/>
  <c r="AC93" s="1"/>
  <c r="BH95"/>
  <c r="AB95" s="1"/>
  <c r="AW97"/>
  <c r="M95"/>
  <c r="BI97"/>
  <c r="AC97" s="1"/>
  <c r="M143"/>
  <c r="AW143"/>
  <c r="BI143"/>
  <c r="AC143" s="1"/>
  <c r="I35" i="4"/>
  <c r="I36" s="1"/>
  <c r="I24" i="3" s="1"/>
  <c r="I26" i="4"/>
  <c r="I25"/>
  <c r="I17"/>
  <c r="I16"/>
  <c r="I15"/>
  <c r="I18" s="1"/>
  <c r="I10"/>
  <c r="F10"/>
  <c r="C10"/>
  <c r="F8"/>
  <c r="C8"/>
  <c r="F6"/>
  <c r="C6"/>
  <c r="F4"/>
  <c r="C4"/>
  <c r="F2"/>
  <c r="C2"/>
  <c r="I19" i="3"/>
  <c r="I18"/>
  <c r="I17"/>
  <c r="F16"/>
  <c r="I15"/>
  <c r="F15"/>
  <c r="F14"/>
  <c r="F22" s="1"/>
  <c r="I10"/>
  <c r="F10"/>
  <c r="C10"/>
  <c r="F8"/>
  <c r="C8"/>
  <c r="F6"/>
  <c r="C6"/>
  <c r="F4"/>
  <c r="C4"/>
  <c r="F2"/>
  <c r="C2"/>
  <c r="P26" i="2"/>
  <c r="P25"/>
  <c r="P24"/>
  <c r="P23"/>
  <c r="P22"/>
  <c r="P21"/>
  <c r="P20"/>
  <c r="P19"/>
  <c r="P18"/>
  <c r="P17"/>
  <c r="P16"/>
  <c r="P15"/>
  <c r="P14"/>
  <c r="P13"/>
  <c r="P12"/>
  <c r="J8"/>
  <c r="H8"/>
  <c r="D8"/>
  <c r="J6"/>
  <c r="H6"/>
  <c r="D6"/>
  <c r="J4"/>
  <c r="H4"/>
  <c r="D4"/>
  <c r="J2"/>
  <c r="H2"/>
  <c r="D2"/>
  <c r="BW206" i="1"/>
  <c r="BJ206"/>
  <c r="BD206"/>
  <c r="AP206"/>
  <c r="BI206" s="1"/>
  <c r="AC206" s="1"/>
  <c r="AO206"/>
  <c r="BH206" s="1"/>
  <c r="AB206" s="1"/>
  <c r="AK206"/>
  <c r="AJ206"/>
  <c r="AH206"/>
  <c r="AG206"/>
  <c r="AF206"/>
  <c r="AE206"/>
  <c r="AD206"/>
  <c r="Z206"/>
  <c r="O206"/>
  <c r="BF206" s="1"/>
  <c r="L206"/>
  <c r="AL206" s="1"/>
  <c r="K206"/>
  <c r="J206"/>
  <c r="BW204"/>
  <c r="BJ204"/>
  <c r="BD204"/>
  <c r="AP204"/>
  <c r="BI204" s="1"/>
  <c r="AC204" s="1"/>
  <c r="AO204"/>
  <c r="AW204" s="1"/>
  <c r="AK204"/>
  <c r="AJ204"/>
  <c r="AH204"/>
  <c r="AG204"/>
  <c r="AF204"/>
  <c r="AE204"/>
  <c r="AD204"/>
  <c r="Z204"/>
  <c r="O204"/>
  <c r="L204"/>
  <c r="AL204" s="1"/>
  <c r="K204"/>
  <c r="J204"/>
  <c r="BW202"/>
  <c r="BJ202"/>
  <c r="BD202"/>
  <c r="AP202"/>
  <c r="BI202" s="1"/>
  <c r="AG202" s="1"/>
  <c r="AO202"/>
  <c r="AW202" s="1"/>
  <c r="AK202"/>
  <c r="AJ202"/>
  <c r="AH202"/>
  <c r="AE202"/>
  <c r="AD202"/>
  <c r="AC202"/>
  <c r="AB202"/>
  <c r="Z202"/>
  <c r="O202"/>
  <c r="BF202" s="1"/>
  <c r="L202"/>
  <c r="AL202" s="1"/>
  <c r="K202"/>
  <c r="J202"/>
  <c r="BW200"/>
  <c r="BJ200"/>
  <c r="BD200"/>
  <c r="AP200"/>
  <c r="BI200" s="1"/>
  <c r="AG200" s="1"/>
  <c r="AO200"/>
  <c r="AW200" s="1"/>
  <c r="AK200"/>
  <c r="AJ200"/>
  <c r="AH200"/>
  <c r="AE200"/>
  <c r="AD200"/>
  <c r="AC200"/>
  <c r="AB200"/>
  <c r="Z200"/>
  <c r="O200"/>
  <c r="BF200" s="1"/>
  <c r="L200"/>
  <c r="AL200" s="1"/>
  <c r="K200"/>
  <c r="J200"/>
  <c r="BW198"/>
  <c r="BJ198"/>
  <c r="BD198"/>
  <c r="AP198"/>
  <c r="BI198" s="1"/>
  <c r="AG198" s="1"/>
  <c r="AO198"/>
  <c r="AW198" s="1"/>
  <c r="AK198"/>
  <c r="AJ198"/>
  <c r="AH198"/>
  <c r="AE198"/>
  <c r="AD198"/>
  <c r="AC198"/>
  <c r="AB198"/>
  <c r="Z198"/>
  <c r="O198"/>
  <c r="L198"/>
  <c r="AL198" s="1"/>
  <c r="K198"/>
  <c r="J198"/>
  <c r="BW196"/>
  <c r="BJ196"/>
  <c r="BD196"/>
  <c r="AP196"/>
  <c r="BI196" s="1"/>
  <c r="AG196" s="1"/>
  <c r="AO196"/>
  <c r="AW196" s="1"/>
  <c r="AK196"/>
  <c r="AJ196"/>
  <c r="AH196"/>
  <c r="AE196"/>
  <c r="AD196"/>
  <c r="AC196"/>
  <c r="AB196"/>
  <c r="Z196"/>
  <c r="O196"/>
  <c r="L196"/>
  <c r="K196"/>
  <c r="J196"/>
  <c r="BW194"/>
  <c r="BJ194"/>
  <c r="BD194"/>
  <c r="AP194"/>
  <c r="BI194" s="1"/>
  <c r="AG194" s="1"/>
  <c r="AO194"/>
  <c r="AW194" s="1"/>
  <c r="AK194"/>
  <c r="AJ194"/>
  <c r="AH194"/>
  <c r="AE194"/>
  <c r="AD194"/>
  <c r="AC194"/>
  <c r="AB194"/>
  <c r="Z194"/>
  <c r="O194"/>
  <c r="L194"/>
  <c r="K194"/>
  <c r="J194"/>
  <c r="BW190"/>
  <c r="BD190"/>
  <c r="AP190"/>
  <c r="AO190"/>
  <c r="AK190"/>
  <c r="AJ190"/>
  <c r="AH190"/>
  <c r="AG190"/>
  <c r="AF190"/>
  <c r="AE190"/>
  <c r="AD190"/>
  <c r="AC190"/>
  <c r="AB190"/>
  <c r="BW188"/>
  <c r="BD188"/>
  <c r="AP188"/>
  <c r="AO188"/>
  <c r="AK188"/>
  <c r="AJ188"/>
  <c r="AH188"/>
  <c r="AG188"/>
  <c r="AF188"/>
  <c r="AE188"/>
  <c r="AD188"/>
  <c r="AC188"/>
  <c r="AB188"/>
  <c r="BW181"/>
  <c r="BD181"/>
  <c r="AP181"/>
  <c r="AO181"/>
  <c r="AK181"/>
  <c r="AJ181"/>
  <c r="AH181"/>
  <c r="AG181"/>
  <c r="AF181"/>
  <c r="AE181"/>
  <c r="AD181"/>
  <c r="AC181"/>
  <c r="AB181"/>
  <c r="BW174"/>
  <c r="BD174"/>
  <c r="AP174"/>
  <c r="AO174"/>
  <c r="AK174"/>
  <c r="AJ174"/>
  <c r="AH174"/>
  <c r="AG174"/>
  <c r="AF174"/>
  <c r="AE174"/>
  <c r="AD174"/>
  <c r="AC174"/>
  <c r="AB174"/>
  <c r="BW167"/>
  <c r="BD167"/>
  <c r="AP167"/>
  <c r="AO167"/>
  <c r="AK167"/>
  <c r="AJ167"/>
  <c r="AH167"/>
  <c r="AG167"/>
  <c r="AF167"/>
  <c r="AE167"/>
  <c r="AD167"/>
  <c r="AC167"/>
  <c r="AB167"/>
  <c r="BW160"/>
  <c r="BD160"/>
  <c r="AP160"/>
  <c r="AO160"/>
  <c r="AK160"/>
  <c r="AJ160"/>
  <c r="AH160"/>
  <c r="AG160"/>
  <c r="AF160"/>
  <c r="AE160"/>
  <c r="AD160"/>
  <c r="AC160"/>
  <c r="AB160"/>
  <c r="BW158"/>
  <c r="AK158"/>
  <c r="AJ158"/>
  <c r="AH158"/>
  <c r="AG158"/>
  <c r="AF158"/>
  <c r="AE158"/>
  <c r="AD158"/>
  <c r="Z158"/>
  <c r="O158"/>
  <c r="BF158" s="1"/>
  <c r="BW157"/>
  <c r="AK157"/>
  <c r="AJ157"/>
  <c r="AH157"/>
  <c r="AE157"/>
  <c r="AD157"/>
  <c r="AC157"/>
  <c r="AB157"/>
  <c r="Z157"/>
  <c r="O157"/>
  <c r="BF157" s="1"/>
  <c r="BW156"/>
  <c r="BJ156"/>
  <c r="BD156"/>
  <c r="AP156"/>
  <c r="BI156" s="1"/>
  <c r="AG156" s="1"/>
  <c r="AO156"/>
  <c r="AK156"/>
  <c r="AJ156"/>
  <c r="AH156"/>
  <c r="AE156"/>
  <c r="AD156"/>
  <c r="AC156"/>
  <c r="AB156"/>
  <c r="Z156"/>
  <c r="O156"/>
  <c r="BF156" s="1"/>
  <c r="L156"/>
  <c r="K156"/>
  <c r="BW154"/>
  <c r="BJ154"/>
  <c r="BD154"/>
  <c r="AP154"/>
  <c r="BI154" s="1"/>
  <c r="AG154" s="1"/>
  <c r="AO154"/>
  <c r="AW154" s="1"/>
  <c r="AK154"/>
  <c r="AJ154"/>
  <c r="AH154"/>
  <c r="AE154"/>
  <c r="AD154"/>
  <c r="AC154"/>
  <c r="AB154"/>
  <c r="Z154"/>
  <c r="O154"/>
  <c r="BF154" s="1"/>
  <c r="L154"/>
  <c r="K154"/>
  <c r="J154"/>
  <c r="BW152"/>
  <c r="BJ152"/>
  <c r="BD152"/>
  <c r="AP152"/>
  <c r="BI152" s="1"/>
  <c r="AG152" s="1"/>
  <c r="AO152"/>
  <c r="AK152"/>
  <c r="AJ152"/>
  <c r="AH152"/>
  <c r="AE152"/>
  <c r="AD152"/>
  <c r="AC152"/>
  <c r="AB152"/>
  <c r="Z152"/>
  <c r="O152"/>
  <c r="BF152" s="1"/>
  <c r="L152"/>
  <c r="K152"/>
  <c r="BW150"/>
  <c r="BJ150"/>
  <c r="BD150"/>
  <c r="AP150"/>
  <c r="BI150" s="1"/>
  <c r="AC150" s="1"/>
  <c r="AO150"/>
  <c r="AW150" s="1"/>
  <c r="AK150"/>
  <c r="AJ150"/>
  <c r="AH150"/>
  <c r="AG150"/>
  <c r="AF150"/>
  <c r="AE150"/>
  <c r="AD150"/>
  <c r="Z150"/>
  <c r="O150"/>
  <c r="BF150" s="1"/>
  <c r="L150"/>
  <c r="K150"/>
  <c r="J150"/>
  <c r="BW148"/>
  <c r="BJ148"/>
  <c r="BD148"/>
  <c r="AP148"/>
  <c r="BI148" s="1"/>
  <c r="AC148" s="1"/>
  <c r="AO148"/>
  <c r="AK148"/>
  <c r="AJ148"/>
  <c r="AH148"/>
  <c r="AG148"/>
  <c r="AF148"/>
  <c r="AE148"/>
  <c r="AD148"/>
  <c r="Z148"/>
  <c r="O148"/>
  <c r="BF148" s="1"/>
  <c r="L148"/>
  <c r="K148"/>
  <c r="BW146"/>
  <c r="BJ146"/>
  <c r="BD146"/>
  <c r="AP146"/>
  <c r="BI146" s="1"/>
  <c r="AC146" s="1"/>
  <c r="AO146"/>
  <c r="AW146" s="1"/>
  <c r="AK146"/>
  <c r="AJ146"/>
  <c r="AH146"/>
  <c r="AG146"/>
  <c r="AF146"/>
  <c r="AE146"/>
  <c r="AD146"/>
  <c r="Z146"/>
  <c r="O146"/>
  <c r="BF146" s="1"/>
  <c r="L146"/>
  <c r="K146"/>
  <c r="J146"/>
  <c r="BW144"/>
  <c r="BJ144"/>
  <c r="BD144"/>
  <c r="AP144"/>
  <c r="BI144" s="1"/>
  <c r="AC144" s="1"/>
  <c r="AO144"/>
  <c r="AK144"/>
  <c r="AJ144"/>
  <c r="AH144"/>
  <c r="AG144"/>
  <c r="AF144"/>
  <c r="AE144"/>
  <c r="AD144"/>
  <c r="Z144"/>
  <c r="O144"/>
  <c r="BF144" s="1"/>
  <c r="L144"/>
  <c r="K144"/>
  <c r="BW141"/>
  <c r="BJ141"/>
  <c r="BD141"/>
  <c r="AP141"/>
  <c r="BI141" s="1"/>
  <c r="AC141" s="1"/>
  <c r="AO141"/>
  <c r="AW141" s="1"/>
  <c r="AK141"/>
  <c r="AJ141"/>
  <c r="AH141"/>
  <c r="AG141"/>
  <c r="AF141"/>
  <c r="AE141"/>
  <c r="AD141"/>
  <c r="Z141"/>
  <c r="O141"/>
  <c r="BF141" s="1"/>
  <c r="L141"/>
  <c r="K141"/>
  <c r="J141"/>
  <c r="BW134"/>
  <c r="BJ134"/>
  <c r="BD134"/>
  <c r="AP134"/>
  <c r="BI134" s="1"/>
  <c r="AG134" s="1"/>
  <c r="AO134"/>
  <c r="AK134"/>
  <c r="AJ134"/>
  <c r="AH134"/>
  <c r="AE134"/>
  <c r="AD134"/>
  <c r="AC134"/>
  <c r="AB134"/>
  <c r="Z134"/>
  <c r="O134"/>
  <c r="BF134" s="1"/>
  <c r="L134"/>
  <c r="K134"/>
  <c r="BW132"/>
  <c r="BJ132"/>
  <c r="BD132"/>
  <c r="AP132"/>
  <c r="BI132" s="1"/>
  <c r="AC132" s="1"/>
  <c r="AO132"/>
  <c r="AW132" s="1"/>
  <c r="AK132"/>
  <c r="AJ132"/>
  <c r="AH132"/>
  <c r="AG132"/>
  <c r="AF132"/>
  <c r="AE132"/>
  <c r="AD132"/>
  <c r="Z132"/>
  <c r="O132"/>
  <c r="BF132" s="1"/>
  <c r="L132"/>
  <c r="K132"/>
  <c r="J132"/>
  <c r="BW130"/>
  <c r="BJ130"/>
  <c r="BD130"/>
  <c r="AP130"/>
  <c r="BI130" s="1"/>
  <c r="AG130" s="1"/>
  <c r="AO130"/>
  <c r="AK130"/>
  <c r="AJ130"/>
  <c r="AH130"/>
  <c r="AE130"/>
  <c r="AD130"/>
  <c r="AC130"/>
  <c r="AB130"/>
  <c r="Z130"/>
  <c r="O130"/>
  <c r="BF130" s="1"/>
  <c r="L130"/>
  <c r="K130"/>
  <c r="BW128"/>
  <c r="BJ128"/>
  <c r="BD128"/>
  <c r="AP128"/>
  <c r="BI128" s="1"/>
  <c r="AC128" s="1"/>
  <c r="AO128"/>
  <c r="AW128" s="1"/>
  <c r="AK128"/>
  <c r="AJ128"/>
  <c r="AH128"/>
  <c r="AG128"/>
  <c r="AF128"/>
  <c r="AE128"/>
  <c r="AD128"/>
  <c r="Z128"/>
  <c r="O128"/>
  <c r="BF128" s="1"/>
  <c r="L128"/>
  <c r="K128"/>
  <c r="J128"/>
  <c r="BW126"/>
  <c r="BJ126"/>
  <c r="BD126"/>
  <c r="AP126"/>
  <c r="BI126" s="1"/>
  <c r="AG126" s="1"/>
  <c r="AO126"/>
  <c r="AK126"/>
  <c r="AJ126"/>
  <c r="AH126"/>
  <c r="AE126"/>
  <c r="AD126"/>
  <c r="AC126"/>
  <c r="AB126"/>
  <c r="Z126"/>
  <c r="O126"/>
  <c r="BF126" s="1"/>
  <c r="L126"/>
  <c r="K126"/>
  <c r="BW124"/>
  <c r="BJ124"/>
  <c r="BD124"/>
  <c r="AP124"/>
  <c r="BI124" s="1"/>
  <c r="AC124" s="1"/>
  <c r="AO124"/>
  <c r="AW124" s="1"/>
  <c r="AK124"/>
  <c r="AJ124"/>
  <c r="AH124"/>
  <c r="AG124"/>
  <c r="AF124"/>
  <c r="AE124"/>
  <c r="AD124"/>
  <c r="Z124"/>
  <c r="O124"/>
  <c r="BF124" s="1"/>
  <c r="L124"/>
  <c r="K124"/>
  <c r="J124"/>
  <c r="BW122"/>
  <c r="BJ122"/>
  <c r="BD122"/>
  <c r="AP122"/>
  <c r="BI122" s="1"/>
  <c r="AG122" s="1"/>
  <c r="AO122"/>
  <c r="J122" s="1"/>
  <c r="AK122"/>
  <c r="AJ122"/>
  <c r="AH122"/>
  <c r="AE122"/>
  <c r="AD122"/>
  <c r="AC122"/>
  <c r="AB122"/>
  <c r="Z122"/>
  <c r="O122"/>
  <c r="BF122" s="1"/>
  <c r="L122"/>
  <c r="BW120"/>
  <c r="BJ120"/>
  <c r="BD120"/>
  <c r="AP120"/>
  <c r="BI120" s="1"/>
  <c r="AC120" s="1"/>
  <c r="AO120"/>
  <c r="AW120" s="1"/>
  <c r="AK120"/>
  <c r="AJ120"/>
  <c r="AH120"/>
  <c r="AG120"/>
  <c r="AF120"/>
  <c r="AE120"/>
  <c r="AD120"/>
  <c r="Z120"/>
  <c r="O120"/>
  <c r="BF120" s="1"/>
  <c r="L120"/>
  <c r="K120"/>
  <c r="BW118"/>
  <c r="BJ118"/>
  <c r="BD118"/>
  <c r="AP118"/>
  <c r="BI118" s="1"/>
  <c r="AG118" s="1"/>
  <c r="AO118"/>
  <c r="AW118" s="1"/>
  <c r="AK118"/>
  <c r="AJ118"/>
  <c r="AH118"/>
  <c r="AE118"/>
  <c r="AD118"/>
  <c r="AC118"/>
  <c r="AB118"/>
  <c r="Z118"/>
  <c r="O118"/>
  <c r="BF118" s="1"/>
  <c r="L118"/>
  <c r="K118"/>
  <c r="J118"/>
  <c r="BW116"/>
  <c r="BJ116"/>
  <c r="BD116"/>
  <c r="AP116"/>
  <c r="BI116" s="1"/>
  <c r="AC116" s="1"/>
  <c r="AO116"/>
  <c r="AW116" s="1"/>
  <c r="AK116"/>
  <c r="AJ116"/>
  <c r="AH116"/>
  <c r="AG116"/>
  <c r="AF116"/>
  <c r="AE116"/>
  <c r="AD116"/>
  <c r="Z116"/>
  <c r="O116"/>
  <c r="BF116" s="1"/>
  <c r="L116"/>
  <c r="K116"/>
  <c r="BW114"/>
  <c r="BJ114"/>
  <c r="BD114"/>
  <c r="AP114"/>
  <c r="BI114" s="1"/>
  <c r="AG114" s="1"/>
  <c r="AO114"/>
  <c r="AW114" s="1"/>
  <c r="AK114"/>
  <c r="AJ114"/>
  <c r="AH114"/>
  <c r="AE114"/>
  <c r="AD114"/>
  <c r="AC114"/>
  <c r="AB114"/>
  <c r="Z114"/>
  <c r="O114"/>
  <c r="BF114" s="1"/>
  <c r="L114"/>
  <c r="K114"/>
  <c r="J114"/>
  <c r="BW112"/>
  <c r="BJ112"/>
  <c r="BD112"/>
  <c r="AP112"/>
  <c r="BI112" s="1"/>
  <c r="AC112" s="1"/>
  <c r="AO112"/>
  <c r="AW112" s="1"/>
  <c r="AK112"/>
  <c r="AJ112"/>
  <c r="AH112"/>
  <c r="AG112"/>
  <c r="AF112"/>
  <c r="AE112"/>
  <c r="AD112"/>
  <c r="Z112"/>
  <c r="O112"/>
  <c r="BF112" s="1"/>
  <c r="L112"/>
  <c r="K112"/>
  <c r="BW110"/>
  <c r="BJ110"/>
  <c r="BD110"/>
  <c r="AP110"/>
  <c r="BI110" s="1"/>
  <c r="AG110" s="1"/>
  <c r="AO110"/>
  <c r="AW110" s="1"/>
  <c r="AK110"/>
  <c r="AJ110"/>
  <c r="AH110"/>
  <c r="AE110"/>
  <c r="AD110"/>
  <c r="AC110"/>
  <c r="AB110"/>
  <c r="Z110"/>
  <c r="O110"/>
  <c r="BF110" s="1"/>
  <c r="L110"/>
  <c r="K110"/>
  <c r="J110"/>
  <c r="BW107"/>
  <c r="BD107"/>
  <c r="AP107"/>
  <c r="AO107"/>
  <c r="AK107"/>
  <c r="AT106" s="1"/>
  <c r="AJ107"/>
  <c r="AS106" s="1"/>
  <c r="AH107"/>
  <c r="AG107"/>
  <c r="AF107"/>
  <c r="AE107"/>
  <c r="AD107"/>
  <c r="AC107"/>
  <c r="AB107"/>
  <c r="BW104"/>
  <c r="BJ104"/>
  <c r="BD104"/>
  <c r="AP104"/>
  <c r="BI104" s="1"/>
  <c r="AC104" s="1"/>
  <c r="AO104"/>
  <c r="AW104" s="1"/>
  <c r="AK104"/>
  <c r="AT103" s="1"/>
  <c r="AJ104"/>
  <c r="AS103" s="1"/>
  <c r="AH104"/>
  <c r="AG104"/>
  <c r="AF104"/>
  <c r="AE104"/>
  <c r="AD104"/>
  <c r="Z104"/>
  <c r="O104"/>
  <c r="BF104" s="1"/>
  <c r="L104"/>
  <c r="K104"/>
  <c r="K103" s="1"/>
  <c r="J22" i="2" s="1"/>
  <c r="BW101" i="1"/>
  <c r="BJ101"/>
  <c r="BD101"/>
  <c r="AP101"/>
  <c r="BI101" s="1"/>
  <c r="AC101" s="1"/>
  <c r="AO101"/>
  <c r="AW101" s="1"/>
  <c r="AK101"/>
  <c r="AJ101"/>
  <c r="AH101"/>
  <c r="AG101"/>
  <c r="AF101"/>
  <c r="AE101"/>
  <c r="AD101"/>
  <c r="Z101"/>
  <c r="O101"/>
  <c r="BF101" s="1"/>
  <c r="L101"/>
  <c r="K101"/>
  <c r="J101"/>
  <c r="BW99"/>
  <c r="BJ99"/>
  <c r="BD99"/>
  <c r="AP99"/>
  <c r="BI99" s="1"/>
  <c r="AC99" s="1"/>
  <c r="AO99"/>
  <c r="AW99" s="1"/>
  <c r="AK99"/>
  <c r="AJ99"/>
  <c r="AH99"/>
  <c r="AG99"/>
  <c r="AF99"/>
  <c r="AE99"/>
  <c r="AD99"/>
  <c r="Z99"/>
  <c r="O99"/>
  <c r="BF99" s="1"/>
  <c r="L99"/>
  <c r="L92" s="1"/>
  <c r="K99"/>
  <c r="BW90"/>
  <c r="BJ90"/>
  <c r="BD90"/>
  <c r="AP90"/>
  <c r="BI90" s="1"/>
  <c r="AC90" s="1"/>
  <c r="AO90"/>
  <c r="AW90" s="1"/>
  <c r="AK90"/>
  <c r="AT89" s="1"/>
  <c r="AJ90"/>
  <c r="AS89" s="1"/>
  <c r="AH90"/>
  <c r="AG90"/>
  <c r="AF90"/>
  <c r="AE90"/>
  <c r="AD90"/>
  <c r="Z90"/>
  <c r="O90"/>
  <c r="BF90" s="1"/>
  <c r="L90"/>
  <c r="L89" s="1"/>
  <c r="K20" i="2" s="1"/>
  <c r="N20" s="1"/>
  <c r="K90" i="1"/>
  <c r="K89" s="1"/>
  <c r="J20" i="2" s="1"/>
  <c r="J90" i="1"/>
  <c r="J89" s="1"/>
  <c r="I20" i="2" s="1"/>
  <c r="BW87" i="1"/>
  <c r="BJ87"/>
  <c r="BD87"/>
  <c r="AP87"/>
  <c r="BI87" s="1"/>
  <c r="AC87" s="1"/>
  <c r="AO87"/>
  <c r="AW87" s="1"/>
  <c r="AK87"/>
  <c r="AJ87"/>
  <c r="AH87"/>
  <c r="AG87"/>
  <c r="AF87"/>
  <c r="AE87"/>
  <c r="AD87"/>
  <c r="Z87"/>
  <c r="O87"/>
  <c r="BF87" s="1"/>
  <c r="L87"/>
  <c r="K87"/>
  <c r="BW86"/>
  <c r="BJ86"/>
  <c r="BD86"/>
  <c r="AP86"/>
  <c r="BI86" s="1"/>
  <c r="AC86" s="1"/>
  <c r="AO86"/>
  <c r="AW86" s="1"/>
  <c r="AK86"/>
  <c r="AJ86"/>
  <c r="AH86"/>
  <c r="AG86"/>
  <c r="AF86"/>
  <c r="AE86"/>
  <c r="AD86"/>
  <c r="Z86"/>
  <c r="O86"/>
  <c r="BF86" s="1"/>
  <c r="L86"/>
  <c r="K86"/>
  <c r="J86"/>
  <c r="BW85"/>
  <c r="BJ85"/>
  <c r="BD85"/>
  <c r="AP85"/>
  <c r="BI85" s="1"/>
  <c r="AC85" s="1"/>
  <c r="AO85"/>
  <c r="AW85" s="1"/>
  <c r="AK85"/>
  <c r="AJ85"/>
  <c r="AH85"/>
  <c r="AG85"/>
  <c r="AF85"/>
  <c r="AE85"/>
  <c r="AD85"/>
  <c r="Z85"/>
  <c r="O85"/>
  <c r="BF85" s="1"/>
  <c r="L85"/>
  <c r="K85"/>
  <c r="BW82"/>
  <c r="BJ82"/>
  <c r="BD82"/>
  <c r="AP82"/>
  <c r="BI82" s="1"/>
  <c r="AE82" s="1"/>
  <c r="AO82"/>
  <c r="AW82" s="1"/>
  <c r="AK82"/>
  <c r="AJ82"/>
  <c r="AH82"/>
  <c r="AG82"/>
  <c r="AF82"/>
  <c r="AC82"/>
  <c r="AB82"/>
  <c r="Z82"/>
  <c r="O82"/>
  <c r="BF82" s="1"/>
  <c r="L82"/>
  <c r="K82"/>
  <c r="J82"/>
  <c r="BW80"/>
  <c r="BJ80"/>
  <c r="BD80"/>
  <c r="AP80"/>
  <c r="BI80" s="1"/>
  <c r="AE80" s="1"/>
  <c r="AO80"/>
  <c r="AW80" s="1"/>
  <c r="AK80"/>
  <c r="AJ80"/>
  <c r="AH80"/>
  <c r="AG80"/>
  <c r="AF80"/>
  <c r="AC80"/>
  <c r="AB80"/>
  <c r="Z80"/>
  <c r="O80"/>
  <c r="BF80" s="1"/>
  <c r="L80"/>
  <c r="K80"/>
  <c r="BW76"/>
  <c r="BJ76"/>
  <c r="BD76"/>
  <c r="AP76"/>
  <c r="BI76" s="1"/>
  <c r="AE76" s="1"/>
  <c r="AO76"/>
  <c r="AW76" s="1"/>
  <c r="AK76"/>
  <c r="AJ76"/>
  <c r="AH76"/>
  <c r="AG76"/>
  <c r="AF76"/>
  <c r="AC76"/>
  <c r="AB76"/>
  <c r="Z76"/>
  <c r="O76"/>
  <c r="BF76" s="1"/>
  <c r="L76"/>
  <c r="K76"/>
  <c r="J76"/>
  <c r="BW74"/>
  <c r="AK74"/>
  <c r="AJ74"/>
  <c r="AH74"/>
  <c r="AG74"/>
  <c r="AF74"/>
  <c r="AE74"/>
  <c r="AD74"/>
  <c r="AC74"/>
  <c r="AB74"/>
  <c r="O74"/>
  <c r="BF74" s="1"/>
  <c r="BW71"/>
  <c r="BJ71"/>
  <c r="BD71"/>
  <c r="AP71"/>
  <c r="BI71" s="1"/>
  <c r="AE71" s="1"/>
  <c r="AO71"/>
  <c r="AW71" s="1"/>
  <c r="AK71"/>
  <c r="AJ71"/>
  <c r="AH71"/>
  <c r="AG71"/>
  <c r="AF71"/>
  <c r="AC71"/>
  <c r="AB71"/>
  <c r="Z71"/>
  <c r="O71"/>
  <c r="BF71" s="1"/>
  <c r="L71"/>
  <c r="K71"/>
  <c r="J71"/>
  <c r="BW69"/>
  <c r="BJ69"/>
  <c r="BD69"/>
  <c r="AP69"/>
  <c r="BI69" s="1"/>
  <c r="AE69" s="1"/>
  <c r="AO69"/>
  <c r="AW69" s="1"/>
  <c r="AK69"/>
  <c r="AJ69"/>
  <c r="AH69"/>
  <c r="AG69"/>
  <c r="AF69"/>
  <c r="AC69"/>
  <c r="AB69"/>
  <c r="Z69"/>
  <c r="O69"/>
  <c r="BF69" s="1"/>
  <c r="L69"/>
  <c r="K69"/>
  <c r="BW67"/>
  <c r="BJ67"/>
  <c r="BD67"/>
  <c r="AP67"/>
  <c r="BI67" s="1"/>
  <c r="AE67" s="1"/>
  <c r="AO67"/>
  <c r="AW67" s="1"/>
  <c r="AK67"/>
  <c r="AJ67"/>
  <c r="AH67"/>
  <c r="AG67"/>
  <c r="AF67"/>
  <c r="AC67"/>
  <c r="AB67"/>
  <c r="Z67"/>
  <c r="O67"/>
  <c r="BF67" s="1"/>
  <c r="L67"/>
  <c r="K67"/>
  <c r="J67"/>
  <c r="BW65"/>
  <c r="BJ65"/>
  <c r="BD65"/>
  <c r="AP65"/>
  <c r="BI65" s="1"/>
  <c r="AE65" s="1"/>
  <c r="AO65"/>
  <c r="AW65" s="1"/>
  <c r="AK65"/>
  <c r="AJ65"/>
  <c r="AH65"/>
  <c r="AG65"/>
  <c r="AF65"/>
  <c r="AC65"/>
  <c r="AB65"/>
  <c r="Z65"/>
  <c r="O65"/>
  <c r="BF65" s="1"/>
  <c r="L65"/>
  <c r="K65"/>
  <c r="BW63"/>
  <c r="BJ63"/>
  <c r="BD63"/>
  <c r="AP63"/>
  <c r="BI63" s="1"/>
  <c r="AE63" s="1"/>
  <c r="AO63"/>
  <c r="AW63" s="1"/>
  <c r="AK63"/>
  <c r="AJ63"/>
  <c r="AH63"/>
  <c r="AG63"/>
  <c r="AF63"/>
  <c r="AC63"/>
  <c r="AB63"/>
  <c r="Z63"/>
  <c r="O63"/>
  <c r="BF63" s="1"/>
  <c r="L63"/>
  <c r="K63"/>
  <c r="J63"/>
  <c r="BW61"/>
  <c r="BJ61"/>
  <c r="BD61"/>
  <c r="AP61"/>
  <c r="BI61" s="1"/>
  <c r="AE61" s="1"/>
  <c r="AO61"/>
  <c r="AW61" s="1"/>
  <c r="AK61"/>
  <c r="AJ61"/>
  <c r="AH61"/>
  <c r="AG61"/>
  <c r="AF61"/>
  <c r="AC61"/>
  <c r="AB61"/>
  <c r="Z61"/>
  <c r="O61"/>
  <c r="L61"/>
  <c r="K61"/>
  <c r="BW59"/>
  <c r="BJ59"/>
  <c r="BD59"/>
  <c r="AP59"/>
  <c r="BI59" s="1"/>
  <c r="AE59" s="1"/>
  <c r="AO59"/>
  <c r="AW59" s="1"/>
  <c r="AK59"/>
  <c r="AT58" s="1"/>
  <c r="AJ59"/>
  <c r="AS58" s="1"/>
  <c r="AH59"/>
  <c r="AG59"/>
  <c r="AF59"/>
  <c r="AC59"/>
  <c r="AB59"/>
  <c r="Z59"/>
  <c r="O59"/>
  <c r="BF59" s="1"/>
  <c r="L59"/>
  <c r="L58" s="1"/>
  <c r="K16" i="2" s="1"/>
  <c r="N16" s="1"/>
  <c r="K59" i="1"/>
  <c r="K58" s="1"/>
  <c r="J16" i="2" s="1"/>
  <c r="J59" i="1"/>
  <c r="J58" s="1"/>
  <c r="I16" i="2" s="1"/>
  <c r="BW57" i="1"/>
  <c r="AK57"/>
  <c r="AJ57"/>
  <c r="AH57"/>
  <c r="AG57"/>
  <c r="AF57"/>
  <c r="AE57"/>
  <c r="AD57"/>
  <c r="AC57"/>
  <c r="AB57"/>
  <c r="O57"/>
  <c r="BF57" s="1"/>
  <c r="BW55"/>
  <c r="BJ55"/>
  <c r="BD55"/>
  <c r="AP55"/>
  <c r="BI55" s="1"/>
  <c r="AE55" s="1"/>
  <c r="AO55"/>
  <c r="AW55" s="1"/>
  <c r="AK55"/>
  <c r="AJ55"/>
  <c r="AH55"/>
  <c r="AG55"/>
  <c r="AF55"/>
  <c r="AC55"/>
  <c r="AB55"/>
  <c r="Z55"/>
  <c r="O55"/>
  <c r="BF55" s="1"/>
  <c r="L55"/>
  <c r="K55"/>
  <c r="J55"/>
  <c r="BW53"/>
  <c r="BJ53"/>
  <c r="BD53"/>
  <c r="AP53"/>
  <c r="BI53" s="1"/>
  <c r="AE53" s="1"/>
  <c r="AO53"/>
  <c r="AW53" s="1"/>
  <c r="AK53"/>
  <c r="AJ53"/>
  <c r="AH53"/>
  <c r="AG53"/>
  <c r="AF53"/>
  <c r="AC53"/>
  <c r="AB53"/>
  <c r="Z53"/>
  <c r="O53"/>
  <c r="BF53" s="1"/>
  <c r="L53"/>
  <c r="K53"/>
  <c r="BW51"/>
  <c r="BJ51"/>
  <c r="BD51"/>
  <c r="AP51"/>
  <c r="BI51" s="1"/>
  <c r="AE51" s="1"/>
  <c r="AO51"/>
  <c r="AW51" s="1"/>
  <c r="AK51"/>
  <c r="AJ51"/>
  <c r="AH51"/>
  <c r="AG51"/>
  <c r="AF51"/>
  <c r="AC51"/>
  <c r="AB51"/>
  <c r="Z51"/>
  <c r="O51"/>
  <c r="BF51" s="1"/>
  <c r="L51"/>
  <c r="K51"/>
  <c r="J51"/>
  <c r="BW49"/>
  <c r="BJ49"/>
  <c r="BD49"/>
  <c r="AP49"/>
  <c r="BI49" s="1"/>
  <c r="AE49" s="1"/>
  <c r="AO49"/>
  <c r="AW49" s="1"/>
  <c r="AK49"/>
  <c r="AJ49"/>
  <c r="AH49"/>
  <c r="AG49"/>
  <c r="AF49"/>
  <c r="AC49"/>
  <c r="AB49"/>
  <c r="Z49"/>
  <c r="O49"/>
  <c r="BF49" s="1"/>
  <c r="L49"/>
  <c r="K49"/>
  <c r="BW47"/>
  <c r="AK47"/>
  <c r="AJ47"/>
  <c r="AH47"/>
  <c r="AG47"/>
  <c r="AF47"/>
  <c r="AE47"/>
  <c r="AD47"/>
  <c r="AC47"/>
  <c r="AB47"/>
  <c r="O47"/>
  <c r="BF47" s="1"/>
  <c r="BW44"/>
  <c r="BJ44"/>
  <c r="BD44"/>
  <c r="AP44"/>
  <c r="BI44" s="1"/>
  <c r="AE44" s="1"/>
  <c r="AO44"/>
  <c r="AW44" s="1"/>
  <c r="AK44"/>
  <c r="AJ44"/>
  <c r="AH44"/>
  <c r="AG44"/>
  <c r="AF44"/>
  <c r="AC44"/>
  <c r="AB44"/>
  <c r="Z44"/>
  <c r="O44"/>
  <c r="BF44" s="1"/>
  <c r="L44"/>
  <c r="K44"/>
  <c r="BW41"/>
  <c r="BJ41"/>
  <c r="BD41"/>
  <c r="AP41"/>
  <c r="BI41" s="1"/>
  <c r="AE41" s="1"/>
  <c r="AO41"/>
  <c r="AW41" s="1"/>
  <c r="AK41"/>
  <c r="AJ41"/>
  <c r="AH41"/>
  <c r="AG41"/>
  <c r="AF41"/>
  <c r="AC41"/>
  <c r="AB41"/>
  <c r="Z41"/>
  <c r="O41"/>
  <c r="BF41" s="1"/>
  <c r="L41"/>
  <c r="K41"/>
  <c r="J41"/>
  <c r="BW39"/>
  <c r="BJ39"/>
  <c r="BD39"/>
  <c r="AP39"/>
  <c r="BI39" s="1"/>
  <c r="AE39" s="1"/>
  <c r="AO39"/>
  <c r="AW39" s="1"/>
  <c r="AK39"/>
  <c r="AJ39"/>
  <c r="AH39"/>
  <c r="AG39"/>
  <c r="AF39"/>
  <c r="AC39"/>
  <c r="AB39"/>
  <c r="Z39"/>
  <c r="O39"/>
  <c r="BF39" s="1"/>
  <c r="L39"/>
  <c r="K39"/>
  <c r="BW35"/>
  <c r="BJ35"/>
  <c r="BD35"/>
  <c r="AP35"/>
  <c r="BI35" s="1"/>
  <c r="AE35" s="1"/>
  <c r="AO35"/>
  <c r="AW35" s="1"/>
  <c r="AK35"/>
  <c r="AJ35"/>
  <c r="AH35"/>
  <c r="AG35"/>
  <c r="AF35"/>
  <c r="AC35"/>
  <c r="AB35"/>
  <c r="Z35"/>
  <c r="O35"/>
  <c r="BF35" s="1"/>
  <c r="L35"/>
  <c r="K35"/>
  <c r="J35"/>
  <c r="BW30"/>
  <c r="BJ30"/>
  <c r="BD30"/>
  <c r="AP30"/>
  <c r="BI30" s="1"/>
  <c r="AE30" s="1"/>
  <c r="AO30"/>
  <c r="BH30" s="1"/>
  <c r="AD30" s="1"/>
  <c r="AK30"/>
  <c r="AJ30"/>
  <c r="AH30"/>
  <c r="AG30"/>
  <c r="AF30"/>
  <c r="AC30"/>
  <c r="AB30"/>
  <c r="Z30"/>
  <c r="O30"/>
  <c r="BF30" s="1"/>
  <c r="L30"/>
  <c r="AL30" s="1"/>
  <c r="K30"/>
  <c r="BW25"/>
  <c r="BJ25"/>
  <c r="BD25"/>
  <c r="AP25"/>
  <c r="AX25" s="1"/>
  <c r="AO25"/>
  <c r="BH25" s="1"/>
  <c r="AD25" s="1"/>
  <c r="AK25"/>
  <c r="AJ25"/>
  <c r="AH25"/>
  <c r="AG25"/>
  <c r="AF25"/>
  <c r="AC25"/>
  <c r="AB25"/>
  <c r="Z25"/>
  <c r="O25"/>
  <c r="L25"/>
  <c r="K25"/>
  <c r="BW20"/>
  <c r="BJ20"/>
  <c r="BD20"/>
  <c r="AP20"/>
  <c r="AX20" s="1"/>
  <c r="AO20"/>
  <c r="BH20" s="1"/>
  <c r="AD20" s="1"/>
  <c r="AK20"/>
  <c r="AJ20"/>
  <c r="AH20"/>
  <c r="AG20"/>
  <c r="AF20"/>
  <c r="AC20"/>
  <c r="AB20"/>
  <c r="Z20"/>
  <c r="O20"/>
  <c r="L20"/>
  <c r="BW16"/>
  <c r="BJ16"/>
  <c r="BD16"/>
  <c r="AP16"/>
  <c r="AX16" s="1"/>
  <c r="AO16"/>
  <c r="BH16" s="1"/>
  <c r="AB16" s="1"/>
  <c r="AK16"/>
  <c r="AT15" s="1"/>
  <c r="AJ16"/>
  <c r="AS15" s="1"/>
  <c r="AH16"/>
  <c r="AG16"/>
  <c r="AF16"/>
  <c r="AE16"/>
  <c r="AD16"/>
  <c r="Z16"/>
  <c r="O16"/>
  <c r="BF16" s="1"/>
  <c r="L16"/>
  <c r="L15" s="1"/>
  <c r="K13" i="2" s="1"/>
  <c r="N13" s="1"/>
  <c r="K16" i="1"/>
  <c r="K15" s="1"/>
  <c r="J13" i="2" s="1"/>
  <c r="O15" i="1"/>
  <c r="L13" i="2" s="1"/>
  <c r="BW13" i="1"/>
  <c r="BJ13"/>
  <c r="BD13"/>
  <c r="AP13"/>
  <c r="AX13" s="1"/>
  <c r="AO13"/>
  <c r="BH13" s="1"/>
  <c r="AB13" s="1"/>
  <c r="AK13"/>
  <c r="AT12" s="1"/>
  <c r="AJ13"/>
  <c r="AH13"/>
  <c r="AG13"/>
  <c r="AF13"/>
  <c r="AE13"/>
  <c r="AD13"/>
  <c r="Z13"/>
  <c r="O13"/>
  <c r="BF13" s="1"/>
  <c r="L13"/>
  <c r="L12" s="1"/>
  <c r="AU1"/>
  <c r="AT1"/>
  <c r="AS1"/>
  <c r="AX128" l="1"/>
  <c r="M93"/>
  <c r="K92"/>
  <c r="J21" i="2" s="1"/>
  <c r="AX51" i="1"/>
  <c r="BC51" s="1"/>
  <c r="AV93"/>
  <c r="AV95"/>
  <c r="M25"/>
  <c r="AX124"/>
  <c r="BC95"/>
  <c r="A93"/>
  <c r="A95" s="1"/>
  <c r="A97" s="1"/>
  <c r="A99" s="1"/>
  <c r="A101" s="1"/>
  <c r="A104" s="1"/>
  <c r="A107" s="1"/>
  <c r="A110" s="1"/>
  <c r="A112" s="1"/>
  <c r="A114" s="1"/>
  <c r="A116" s="1"/>
  <c r="A118" s="1"/>
  <c r="A120" s="1"/>
  <c r="A122" s="1"/>
  <c r="A124" s="1"/>
  <c r="A126" s="1"/>
  <c r="A128" s="1"/>
  <c r="A130" s="1"/>
  <c r="A132" s="1"/>
  <c r="A134" s="1"/>
  <c r="A141" s="1"/>
  <c r="A143" s="1"/>
  <c r="A144" s="1"/>
  <c r="A146" s="1"/>
  <c r="AT84"/>
  <c r="AP74"/>
  <c r="BI74" s="1"/>
  <c r="BC93"/>
  <c r="BC97"/>
  <c r="AV97"/>
  <c r="AS92"/>
  <c r="AT48"/>
  <c r="AO57"/>
  <c r="AW57" s="1"/>
  <c r="BC143"/>
  <c r="AV143"/>
  <c r="AS159"/>
  <c r="J30"/>
  <c r="AX55"/>
  <c r="BC55" s="1"/>
  <c r="O60"/>
  <c r="L17" i="2" s="1"/>
  <c r="AT60" i="1"/>
  <c r="AX65"/>
  <c r="BC65" s="1"/>
  <c r="AO88"/>
  <c r="AW88" s="1"/>
  <c r="AS84"/>
  <c r="AX90"/>
  <c r="AX141"/>
  <c r="AX150"/>
  <c r="AX118"/>
  <c r="AX146"/>
  <c r="AX154"/>
  <c r="K193"/>
  <c r="J26" i="2" s="1"/>
  <c r="O12" i="1"/>
  <c r="L12" i="2" s="1"/>
  <c r="AX132" i="1"/>
  <c r="AV132" s="1"/>
  <c r="M13"/>
  <c r="M12" s="1"/>
  <c r="AX41"/>
  <c r="AV41" s="1"/>
  <c r="AX61"/>
  <c r="AV61" s="1"/>
  <c r="AX69"/>
  <c r="AX85"/>
  <c r="BH88"/>
  <c r="AB88" s="1"/>
  <c r="AL20"/>
  <c r="AS19"/>
  <c r="AS48"/>
  <c r="BJ74"/>
  <c r="Z74" s="1"/>
  <c r="AP57"/>
  <c r="AX57" s="1"/>
  <c r="BD74"/>
  <c r="AX87"/>
  <c r="AW30"/>
  <c r="L74"/>
  <c r="L88"/>
  <c r="AL88" s="1"/>
  <c r="K75"/>
  <c r="J18" i="2" s="1"/>
  <c r="C27" i="3"/>
  <c r="M20" i="1"/>
  <c r="AS109"/>
  <c r="AX110"/>
  <c r="BF20"/>
  <c r="AS60"/>
  <c r="AT75"/>
  <c r="O84"/>
  <c r="L19" i="2" s="1"/>
  <c r="AT92" i="1"/>
  <c r="L193"/>
  <c r="K26" i="2" s="1"/>
  <c r="N26" s="1"/>
  <c r="AS193" i="1"/>
  <c r="J193"/>
  <c r="I26" i="2" s="1"/>
  <c r="M16" i="1"/>
  <c r="M15" s="1"/>
  <c r="BF25"/>
  <c r="AX35"/>
  <c r="L75"/>
  <c r="K18" i="2" s="1"/>
  <c r="N18" s="1"/>
  <c r="AS75" i="1"/>
  <c r="AX80"/>
  <c r="BC80" s="1"/>
  <c r="AX101"/>
  <c r="AX114"/>
  <c r="K188"/>
  <c r="BF194"/>
  <c r="BF198"/>
  <c r="BH59"/>
  <c r="AD59" s="1"/>
  <c r="BH67"/>
  <c r="AD67" s="1"/>
  <c r="BH82"/>
  <c r="AD82" s="1"/>
  <c r="BH86"/>
  <c r="AB86" s="1"/>
  <c r="AL16"/>
  <c r="AU15" s="1"/>
  <c r="AS12"/>
  <c r="K13"/>
  <c r="K12" s="1"/>
  <c r="J12" i="2" s="1"/>
  <c r="AL13" i="1"/>
  <c r="AU12" s="1"/>
  <c r="J16"/>
  <c r="J15" s="1"/>
  <c r="I13" i="2" s="1"/>
  <c r="AW16" i="1"/>
  <c r="BC16" s="1"/>
  <c r="K20"/>
  <c r="J25"/>
  <c r="AW25"/>
  <c r="AV25" s="1"/>
  <c r="M30"/>
  <c r="O48"/>
  <c r="L15" i="2" s="1"/>
  <c r="AX49" i="1"/>
  <c r="AV49" s="1"/>
  <c r="BH51"/>
  <c r="AD51" s="1"/>
  <c r="AX53"/>
  <c r="BC53" s="1"/>
  <c r="BH55"/>
  <c r="AD55" s="1"/>
  <c r="O58"/>
  <c r="L16" i="2" s="1"/>
  <c r="AX59" i="1"/>
  <c r="AV59" s="1"/>
  <c r="BC61"/>
  <c r="AX63"/>
  <c r="AX67"/>
  <c r="BC69"/>
  <c r="AX71"/>
  <c r="AX76"/>
  <c r="AX82"/>
  <c r="BC85"/>
  <c r="AX86"/>
  <c r="BC87"/>
  <c r="BH110"/>
  <c r="AF110" s="1"/>
  <c r="AX112"/>
  <c r="BC112" s="1"/>
  <c r="BH114"/>
  <c r="AF114" s="1"/>
  <c r="AX116"/>
  <c r="BC116" s="1"/>
  <c r="BH118"/>
  <c r="AF118" s="1"/>
  <c r="AX120"/>
  <c r="BC120" s="1"/>
  <c r="AT193"/>
  <c r="BF61"/>
  <c r="AT19"/>
  <c r="BH63"/>
  <c r="AD63" s="1"/>
  <c r="BH71"/>
  <c r="AD71" s="1"/>
  <c r="BH76"/>
  <c r="AD76" s="1"/>
  <c r="AL25"/>
  <c r="K74"/>
  <c r="O89"/>
  <c r="L20" i="2" s="1"/>
  <c r="K122" i="1"/>
  <c r="BH194"/>
  <c r="AF194" s="1"/>
  <c r="J13"/>
  <c r="J12" s="1"/>
  <c r="I12" i="2" s="1"/>
  <c r="AW13" i="1"/>
  <c r="AV13" s="1"/>
  <c r="J20"/>
  <c r="AW20"/>
  <c r="AV20" s="1"/>
  <c r="BH35"/>
  <c r="AD35" s="1"/>
  <c r="AX39"/>
  <c r="BC39" s="1"/>
  <c r="BH41"/>
  <c r="AD41" s="1"/>
  <c r="AX44"/>
  <c r="BC44" s="1"/>
  <c r="AX74"/>
  <c r="BH90"/>
  <c r="AB90" s="1"/>
  <c r="O92"/>
  <c r="L21" i="2" s="1"/>
  <c r="AX99" i="1"/>
  <c r="BC99" s="1"/>
  <c r="BH101"/>
  <c r="AB101" s="1"/>
  <c r="O103"/>
  <c r="L22" i="2" s="1"/>
  <c r="AX104" i="1"/>
  <c r="AV104" s="1"/>
  <c r="AT109"/>
  <c r="AX122"/>
  <c r="BH124"/>
  <c r="AB124" s="1"/>
  <c r="AX126"/>
  <c r="BH128"/>
  <c r="AB128" s="1"/>
  <c r="AX130"/>
  <c r="BH132"/>
  <c r="AB132" s="1"/>
  <c r="AX134"/>
  <c r="BH141"/>
  <c r="AB141" s="1"/>
  <c r="AX144"/>
  <c r="BH146"/>
  <c r="AB146" s="1"/>
  <c r="AX148"/>
  <c r="BH150"/>
  <c r="AB150" s="1"/>
  <c r="AX152"/>
  <c r="BH154"/>
  <c r="AF154" s="1"/>
  <c r="AX156"/>
  <c r="AX194"/>
  <c r="AW206"/>
  <c r="BF204"/>
  <c r="BI16"/>
  <c r="AC16" s="1"/>
  <c r="BI20"/>
  <c r="AE20" s="1"/>
  <c r="AL63"/>
  <c r="M63"/>
  <c r="AV65"/>
  <c r="AL71"/>
  <c r="M71"/>
  <c r="AL76"/>
  <c r="M76"/>
  <c r="AL82"/>
  <c r="M82"/>
  <c r="AV85"/>
  <c r="AL86"/>
  <c r="M86"/>
  <c r="AL101"/>
  <c r="M101"/>
  <c r="AV116"/>
  <c r="AL122"/>
  <c r="M122"/>
  <c r="BH122"/>
  <c r="AF122" s="1"/>
  <c r="AW122"/>
  <c r="AW126"/>
  <c r="BH126"/>
  <c r="AF126" s="1"/>
  <c r="J126"/>
  <c r="AW130"/>
  <c r="BH130"/>
  <c r="AF130" s="1"/>
  <c r="J130"/>
  <c r="BI13"/>
  <c r="AC13" s="1"/>
  <c r="BI25"/>
  <c r="AE25" s="1"/>
  <c r="AL35"/>
  <c r="M35"/>
  <c r="AL41"/>
  <c r="M41"/>
  <c r="AL51"/>
  <c r="M51"/>
  <c r="AL55"/>
  <c r="M55"/>
  <c r="AL59"/>
  <c r="AU58" s="1"/>
  <c r="M59"/>
  <c r="M58" s="1"/>
  <c r="AL67"/>
  <c r="M67"/>
  <c r="AV69"/>
  <c r="AV87"/>
  <c r="AL90"/>
  <c r="AU89" s="1"/>
  <c r="M90"/>
  <c r="M89" s="1"/>
  <c r="AL110"/>
  <c r="M110"/>
  <c r="AV112"/>
  <c r="AL114"/>
  <c r="M114"/>
  <c r="AL118"/>
  <c r="M118"/>
  <c r="AW134"/>
  <c r="BH134"/>
  <c r="AF134" s="1"/>
  <c r="J134"/>
  <c r="AW144"/>
  <c r="BH144"/>
  <c r="AB144" s="1"/>
  <c r="J144"/>
  <c r="AW148"/>
  <c r="BH148"/>
  <c r="AB148" s="1"/>
  <c r="J148"/>
  <c r="AW152"/>
  <c r="BH152"/>
  <c r="AF152" s="1"/>
  <c r="J152"/>
  <c r="AW156"/>
  <c r="BH156"/>
  <c r="AF156" s="1"/>
  <c r="J156"/>
  <c r="AL194"/>
  <c r="M194"/>
  <c r="BF196"/>
  <c r="O193"/>
  <c r="L26" i="2" s="1"/>
  <c r="K12"/>
  <c r="N12" s="1"/>
  <c r="C20" i="3"/>
  <c r="C28"/>
  <c r="F28" s="1"/>
  <c r="O19" i="1"/>
  <c r="L14" i="2" s="1"/>
  <c r="AX30" i="1"/>
  <c r="BC35"/>
  <c r="AV35"/>
  <c r="J39"/>
  <c r="AL39"/>
  <c r="M39"/>
  <c r="BH39"/>
  <c r="AD39" s="1"/>
  <c r="J44"/>
  <c r="AL44"/>
  <c r="M44"/>
  <c r="BH44"/>
  <c r="AD44" s="1"/>
  <c r="J49"/>
  <c r="AL49"/>
  <c r="M49"/>
  <c r="BH49"/>
  <c r="AD49" s="1"/>
  <c r="AV51"/>
  <c r="J53"/>
  <c r="AL53"/>
  <c r="M53"/>
  <c r="BH53"/>
  <c r="AD53" s="1"/>
  <c r="AV55"/>
  <c r="J57"/>
  <c r="BH57"/>
  <c r="J61"/>
  <c r="AL61"/>
  <c r="M61"/>
  <c r="BH61"/>
  <c r="AD61" s="1"/>
  <c r="BC63"/>
  <c r="AV63"/>
  <c r="J65"/>
  <c r="AL65"/>
  <c r="M65"/>
  <c r="BH65"/>
  <c r="AD65" s="1"/>
  <c r="BC67"/>
  <c r="AV67"/>
  <c r="J69"/>
  <c r="AL69"/>
  <c r="M69"/>
  <c r="BH69"/>
  <c r="AD69" s="1"/>
  <c r="BC71"/>
  <c r="AV71"/>
  <c r="AL74"/>
  <c r="M74"/>
  <c r="O75"/>
  <c r="L18" i="2" s="1"/>
  <c r="BC76" i="1"/>
  <c r="AV76"/>
  <c r="J80"/>
  <c r="J75" s="1"/>
  <c r="I18" i="2" s="1"/>
  <c r="AL80" i="1"/>
  <c r="M80"/>
  <c r="BH80"/>
  <c r="AD80" s="1"/>
  <c r="BC82"/>
  <c r="AV82"/>
  <c r="J85"/>
  <c r="AL85"/>
  <c r="M85"/>
  <c r="BH85"/>
  <c r="AB85" s="1"/>
  <c r="BC86"/>
  <c r="AV86"/>
  <c r="J87"/>
  <c r="AL87"/>
  <c r="M87"/>
  <c r="BH87"/>
  <c r="AB87" s="1"/>
  <c r="BC90"/>
  <c r="AV90"/>
  <c r="K21" i="2"/>
  <c r="N21" s="1"/>
  <c r="J99" i="1"/>
  <c r="AL99"/>
  <c r="AU92" s="1"/>
  <c r="M99"/>
  <c r="BH99"/>
  <c r="AB99" s="1"/>
  <c r="BC101"/>
  <c r="AV101"/>
  <c r="L103"/>
  <c r="K22" i="2" s="1"/>
  <c r="N22" s="1"/>
  <c r="J104" i="1"/>
  <c r="J103" s="1"/>
  <c r="I22" i="2" s="1"/>
  <c r="AL104" i="1"/>
  <c r="AU103" s="1"/>
  <c r="M104"/>
  <c r="M103" s="1"/>
  <c r="BH104"/>
  <c r="AB104" s="1"/>
  <c r="O109"/>
  <c r="L24" i="2" s="1"/>
  <c r="BC110" i="1"/>
  <c r="AV110"/>
  <c r="J112"/>
  <c r="AL112"/>
  <c r="M112"/>
  <c r="BH112"/>
  <c r="AB112" s="1"/>
  <c r="BC114"/>
  <c r="AV114"/>
  <c r="J116"/>
  <c r="AL116"/>
  <c r="M116"/>
  <c r="BH116"/>
  <c r="AB116" s="1"/>
  <c r="BC118"/>
  <c r="AV118"/>
  <c r="J120"/>
  <c r="AL120"/>
  <c r="M120"/>
  <c r="BH120"/>
  <c r="AB120" s="1"/>
  <c r="AL124"/>
  <c r="M124"/>
  <c r="AL128"/>
  <c r="M128"/>
  <c r="AL132"/>
  <c r="M132"/>
  <c r="AL141"/>
  <c r="M141"/>
  <c r="AL146"/>
  <c r="M146"/>
  <c r="AL150"/>
  <c r="M150"/>
  <c r="AL154"/>
  <c r="M154"/>
  <c r="AT159"/>
  <c r="BC124"/>
  <c r="AV124"/>
  <c r="AL126"/>
  <c r="M126"/>
  <c r="BC128"/>
  <c r="AV128"/>
  <c r="AL130"/>
  <c r="M130"/>
  <c r="BC132"/>
  <c r="AL134"/>
  <c r="M134"/>
  <c r="BC141"/>
  <c r="AV141"/>
  <c r="AL144"/>
  <c r="M144"/>
  <c r="BC146"/>
  <c r="AV146"/>
  <c r="AL148"/>
  <c r="M148"/>
  <c r="BC150"/>
  <c r="AV150"/>
  <c r="AL152"/>
  <c r="M152"/>
  <c r="BC154"/>
  <c r="AV154"/>
  <c r="AL156"/>
  <c r="M156"/>
  <c r="BC194"/>
  <c r="AV194"/>
  <c r="AL196"/>
  <c r="M196"/>
  <c r="AX196"/>
  <c r="BC196" s="1"/>
  <c r="BH196"/>
  <c r="AF196" s="1"/>
  <c r="AX198"/>
  <c r="BC198" s="1"/>
  <c r="BH198"/>
  <c r="AF198" s="1"/>
  <c r="AX200"/>
  <c r="BC200" s="1"/>
  <c r="BH200"/>
  <c r="AF200" s="1"/>
  <c r="AX202"/>
  <c r="BC202" s="1"/>
  <c r="BH202"/>
  <c r="AF202" s="1"/>
  <c r="AX204"/>
  <c r="BC204" s="1"/>
  <c r="BH204"/>
  <c r="AB204" s="1"/>
  <c r="AX206"/>
  <c r="BC206" s="1"/>
  <c r="M198"/>
  <c r="M200"/>
  <c r="M202"/>
  <c r="M204"/>
  <c r="M206"/>
  <c r="M92" l="1"/>
  <c r="L84"/>
  <c r="K19" i="2" s="1"/>
  <c r="N19" s="1"/>
  <c r="AV80" i="1"/>
  <c r="BC59"/>
  <c r="AV53"/>
  <c r="AV39"/>
  <c r="BC25"/>
  <c r="AV16"/>
  <c r="J92"/>
  <c r="I21" i="2" s="1"/>
  <c r="M88" i="1"/>
  <c r="J88"/>
  <c r="J84" s="1"/>
  <c r="I19" i="2" s="1"/>
  <c r="BD88" i="1"/>
  <c r="BJ57"/>
  <c r="Z57" s="1"/>
  <c r="BJ88"/>
  <c r="AP88"/>
  <c r="L57"/>
  <c r="BD57"/>
  <c r="AO74"/>
  <c r="A148"/>
  <c r="A150" s="1"/>
  <c r="A152" s="1"/>
  <c r="A154" s="1"/>
  <c r="A156" s="1"/>
  <c r="A157" s="1"/>
  <c r="A158" s="1"/>
  <c r="A160" s="1"/>
  <c r="A167" s="1"/>
  <c r="A174" s="1"/>
  <c r="A181" s="1"/>
  <c r="A188" s="1"/>
  <c r="A190" s="1"/>
  <c r="A194" s="1"/>
  <c r="A196" s="1"/>
  <c r="A198" s="1"/>
  <c r="A200" s="1"/>
  <c r="A202" s="1"/>
  <c r="A204" s="1"/>
  <c r="A206" s="1"/>
  <c r="I8" i="4"/>
  <c r="BC57" i="1"/>
  <c r="AV57"/>
  <c r="AV99"/>
  <c r="O107"/>
  <c r="AV206"/>
  <c r="J160"/>
  <c r="BC13"/>
  <c r="BC41"/>
  <c r="AV30"/>
  <c r="L188"/>
  <c r="O188"/>
  <c r="BF188" s="1"/>
  <c r="BJ188"/>
  <c r="Z188" s="1"/>
  <c r="J188"/>
  <c r="AW160"/>
  <c r="AW188"/>
  <c r="BH188"/>
  <c r="BI188"/>
  <c r="AX188"/>
  <c r="BI57"/>
  <c r="K57"/>
  <c r="K48" s="1"/>
  <c r="J15" i="2" s="1"/>
  <c r="AP47" i="1"/>
  <c r="L47"/>
  <c r="BD47"/>
  <c r="BJ47"/>
  <c r="Z47" s="1"/>
  <c r="AO47"/>
  <c r="BC49"/>
  <c r="AV120"/>
  <c r="BJ157"/>
  <c r="AO157"/>
  <c r="L157"/>
  <c r="AP157"/>
  <c r="BD157"/>
  <c r="C17" i="3"/>
  <c r="BC104" i="1"/>
  <c r="BJ158"/>
  <c r="AP158"/>
  <c r="AO158"/>
  <c r="BD158"/>
  <c r="L158"/>
  <c r="C16" i="3"/>
  <c r="AV44" i="1"/>
  <c r="BC20"/>
  <c r="AV204"/>
  <c r="AV200"/>
  <c r="AV196"/>
  <c r="M84"/>
  <c r="AV202"/>
  <c r="AV198"/>
  <c r="M193"/>
  <c r="BC156"/>
  <c r="AV156"/>
  <c r="BC148"/>
  <c r="AV148"/>
  <c r="BC134"/>
  <c r="AV134"/>
  <c r="BC30"/>
  <c r="BC130"/>
  <c r="AV130"/>
  <c r="BC122"/>
  <c r="AV122"/>
  <c r="M75"/>
  <c r="AU84"/>
  <c r="J48"/>
  <c r="I15" i="2" s="1"/>
  <c r="AU193" i="1"/>
  <c r="BC152"/>
  <c r="AV152"/>
  <c r="BC144"/>
  <c r="AV144"/>
  <c r="BC126"/>
  <c r="AV126"/>
  <c r="AU75"/>
  <c r="AW74" l="1"/>
  <c r="J74"/>
  <c r="BH74"/>
  <c r="K88"/>
  <c r="K84" s="1"/>
  <c r="J19" i="2" s="1"/>
  <c r="BI88" i="1"/>
  <c r="AC88" s="1"/>
  <c r="AX88"/>
  <c r="I8" i="3"/>
  <c r="M57" i="1"/>
  <c r="M48" s="1"/>
  <c r="AL57"/>
  <c r="AU48" s="1"/>
  <c r="L48"/>
  <c r="K15" i="2" s="1"/>
  <c r="N15" s="1"/>
  <c r="AW181" i="1"/>
  <c r="L107"/>
  <c r="AL107" s="1"/>
  <c r="AU106" s="1"/>
  <c r="BJ107"/>
  <c r="Z107" s="1"/>
  <c r="BJ160"/>
  <c r="Z160" s="1"/>
  <c r="AX160"/>
  <c r="BC160" s="1"/>
  <c r="O160"/>
  <c r="BF160" s="1"/>
  <c r="AW174"/>
  <c r="L160"/>
  <c r="BI160"/>
  <c r="BJ174"/>
  <c r="Z174" s="1"/>
  <c r="K160"/>
  <c r="BH160"/>
  <c r="AW107"/>
  <c r="BI107"/>
  <c r="J107"/>
  <c r="J106" s="1"/>
  <c r="I23" i="2" s="1"/>
  <c r="AX107" i="1"/>
  <c r="K107"/>
  <c r="K106" s="1"/>
  <c r="J23" i="2" s="1"/>
  <c r="BH107" i="1"/>
  <c r="BF107"/>
  <c r="O106"/>
  <c r="L23" i="2" s="1"/>
  <c r="M188" i="1"/>
  <c r="AL188"/>
  <c r="AV188"/>
  <c r="BC188"/>
  <c r="O167"/>
  <c r="BJ167"/>
  <c r="Z167" s="1"/>
  <c r="L167"/>
  <c r="AX167"/>
  <c r="AW167"/>
  <c r="J167"/>
  <c r="BI167"/>
  <c r="K167"/>
  <c r="BH167"/>
  <c r="AW47"/>
  <c r="J47"/>
  <c r="J19" s="1"/>
  <c r="I14" i="2" s="1"/>
  <c r="BH47" i="1"/>
  <c r="BI47"/>
  <c r="K47"/>
  <c r="K19" s="1"/>
  <c r="J14" i="2" s="1"/>
  <c r="AX47" i="1"/>
  <c r="M47"/>
  <c r="M19" s="1"/>
  <c r="L19"/>
  <c r="AL47"/>
  <c r="AU19" s="1"/>
  <c r="BI158"/>
  <c r="AC158" s="1"/>
  <c r="K158"/>
  <c r="AX158"/>
  <c r="AW157"/>
  <c r="J157"/>
  <c r="BH157"/>
  <c r="AF157" s="1"/>
  <c r="C18" i="3" s="1"/>
  <c r="M158" i="1"/>
  <c r="AL158"/>
  <c r="L109"/>
  <c r="AL157"/>
  <c r="M157"/>
  <c r="M109" s="1"/>
  <c r="BI157"/>
  <c r="AG157" s="1"/>
  <c r="C19" i="3" s="1"/>
  <c r="AX157" i="1"/>
  <c r="K157"/>
  <c r="K109" s="1"/>
  <c r="J24" i="2" s="1"/>
  <c r="J158" i="1"/>
  <c r="BH158"/>
  <c r="AB158" s="1"/>
  <c r="AW158"/>
  <c r="AL160" l="1"/>
  <c r="L159"/>
  <c r="K14" i="2"/>
  <c r="N14" s="1"/>
  <c r="M160" i="1"/>
  <c r="BH181"/>
  <c r="BJ181"/>
  <c r="Z181" s="1"/>
  <c r="L181"/>
  <c r="M181" s="1"/>
  <c r="AV160"/>
  <c r="AX181"/>
  <c r="AV181" s="1"/>
  <c r="J181"/>
  <c r="O181"/>
  <c r="BF181" s="1"/>
  <c r="K181"/>
  <c r="AV74"/>
  <c r="BC74"/>
  <c r="L106"/>
  <c r="K23" i="2" s="1"/>
  <c r="N23" s="1"/>
  <c r="BI181" i="1"/>
  <c r="BC88"/>
  <c r="AV88"/>
  <c r="M107"/>
  <c r="M106" s="1"/>
  <c r="BH174"/>
  <c r="BI174"/>
  <c r="J174"/>
  <c r="L174"/>
  <c r="M174" s="1"/>
  <c r="O174"/>
  <c r="BF174" s="1"/>
  <c r="AX174"/>
  <c r="BC174" s="1"/>
  <c r="K174"/>
  <c r="AV107"/>
  <c r="BC107"/>
  <c r="BJ190"/>
  <c r="Z190" s="1"/>
  <c r="K190"/>
  <c r="L190"/>
  <c r="AX190"/>
  <c r="O190"/>
  <c r="BF190" s="1"/>
  <c r="AW190"/>
  <c r="BI190"/>
  <c r="J190"/>
  <c r="BH190"/>
  <c r="AV167"/>
  <c r="BC167"/>
  <c r="BF167"/>
  <c r="AU109"/>
  <c r="AV47"/>
  <c r="BC47"/>
  <c r="M167"/>
  <c r="AL167"/>
  <c r="BC157"/>
  <c r="AV157"/>
  <c r="BC158"/>
  <c r="AV158"/>
  <c r="K24" i="2"/>
  <c r="N24" s="1"/>
  <c r="J109" i="1"/>
  <c r="I24" i="2" s="1"/>
  <c r="C21" i="3" l="1"/>
  <c r="AL181" i="1"/>
  <c r="BC181"/>
  <c r="K159"/>
  <c r="J25" i="2" s="1"/>
  <c r="AL174" i="1"/>
  <c r="AV174"/>
  <c r="J159"/>
  <c r="I25" i="2" s="1"/>
  <c r="AV190" i="1"/>
  <c r="BC190"/>
  <c r="M190"/>
  <c r="M159" s="1"/>
  <c r="AL190"/>
  <c r="O159"/>
  <c r="L25" i="2" s="1"/>
  <c r="I21" i="4"/>
  <c r="I14" i="3" s="1"/>
  <c r="I23" i="4"/>
  <c r="I16" i="3" s="1"/>
  <c r="AU159" i="1" l="1"/>
  <c r="K25" i="2"/>
  <c r="N25" s="1"/>
  <c r="I27" i="4"/>
  <c r="F29" s="1"/>
  <c r="I22" i="3"/>
  <c r="BJ73" i="1"/>
  <c r="BD73"/>
  <c r="AO73"/>
  <c r="AW73" s="1"/>
  <c r="AP73"/>
  <c r="BI73" s="1"/>
  <c r="AC73" s="1"/>
  <c r="C15" i="3" s="1"/>
  <c r="L73" i="1"/>
  <c r="M73" s="1"/>
  <c r="M60" s="1"/>
  <c r="M208" s="1"/>
  <c r="L60" l="1"/>
  <c r="L208" s="1"/>
  <c r="K73"/>
  <c r="K60" s="1"/>
  <c r="J17" i="2" s="1"/>
  <c r="AX73" i="1"/>
  <c r="AV73" s="1"/>
  <c r="AL73"/>
  <c r="C29" i="3" s="1"/>
  <c r="I28" s="1"/>
  <c r="K17" i="2"/>
  <c r="N17" s="1"/>
  <c r="K27" s="1"/>
  <c r="J73" i="1"/>
  <c r="J60" s="1"/>
  <c r="I17" i="2" s="1"/>
  <c r="BH73" i="1"/>
  <c r="AB73" s="1"/>
  <c r="C14" i="3" s="1"/>
  <c r="C22" l="1"/>
  <c r="BC73" i="1"/>
  <c r="AU60"/>
  <c r="F29" i="3"/>
  <c r="I29" s="1"/>
  <c r="E32" i="5"/>
  <c r="E68" l="1"/>
  <c r="E41"/>
  <c r="E39"/>
  <c r="E48"/>
  <c r="E49" s="1"/>
  <c r="E92" s="1"/>
  <c r="E42"/>
  <c r="E40"/>
  <c r="E44" l="1"/>
  <c r="E77" s="1"/>
  <c r="E97" s="1"/>
</calcChain>
</file>

<file path=xl/sharedStrings.xml><?xml version="1.0" encoding="utf-8"?>
<sst xmlns="http://schemas.openxmlformats.org/spreadsheetml/2006/main" count="1683" uniqueCount="485">
  <si>
    <t>Stavební rozpočet</t>
  </si>
  <si>
    <t>Název stavby:</t>
  </si>
  <si>
    <t>K. Vary - Výměna GŘTV - Lázeňský most M 14 - Dočasné přeložení vřídelní vody DN 350</t>
  </si>
  <si>
    <t>Doba výstavby:</t>
  </si>
  <si>
    <t xml:space="preserve"> </t>
  </si>
  <si>
    <t>Objednatel:</t>
  </si>
  <si>
    <t>SPLZaK, Lázeňská 2, 36001 Karlovy Vary</t>
  </si>
  <si>
    <t>Druh stavby:</t>
  </si>
  <si>
    <t>PCN-2516-1</t>
  </si>
  <si>
    <t>Začátek výstavby:</t>
  </si>
  <si>
    <t>Projektant:</t>
  </si>
  <si>
    <t>Lokalita:</t>
  </si>
  <si>
    <t>K. Vary - Výměna gravitační řadu termominerální vody</t>
  </si>
  <si>
    <t>Konec výstavby:</t>
  </si>
  <si>
    <t>Zhotovitel:</t>
  </si>
  <si>
    <t> </t>
  </si>
  <si>
    <t>JKSO:</t>
  </si>
  <si>
    <t>827</t>
  </si>
  <si>
    <t>Zpracováno dne:</t>
  </si>
  <si>
    <t>Zpracoval:</t>
  </si>
  <si>
    <t>Č</t>
  </si>
  <si>
    <t>Objekt</t>
  </si>
  <si>
    <t>Kód</t>
  </si>
  <si>
    <t>Zkrácený popis</t>
  </si>
  <si>
    <t>MJ</t>
  </si>
  <si>
    <t>Množství</t>
  </si>
  <si>
    <t>Cena/MJ</t>
  </si>
  <si>
    <t>Sazba DPH</t>
  </si>
  <si>
    <t>Náklady (Kč)</t>
  </si>
  <si>
    <t>Hmotnost (t)</t>
  </si>
  <si>
    <t>Cenová</t>
  </si>
  <si>
    <t>ISWORK</t>
  </si>
  <si>
    <t>GROUPCODE</t>
  </si>
  <si>
    <t>VATTAX</t>
  </si>
  <si>
    <t>Rozměry</t>
  </si>
  <si>
    <t>(Kč)</t>
  </si>
  <si>
    <t>Dodávka</t>
  </si>
  <si>
    <t>Montáž</t>
  </si>
  <si>
    <t>Celkem</t>
  </si>
  <si>
    <t>Celkem vč. DPH</t>
  </si>
  <si>
    <t>Jednot.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</si>
  <si>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</si>
  <si>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</si>
  <si>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</si>
  <si>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</si>
  <si>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</si>
  <si>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</si>
  <si>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</si>
  <si>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</si>
  <si>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</si>
  <si>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</si>
  <si>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</si>
  <si>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</si>
  <si>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</si>
  <si>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/>
  </si>
  <si>
    <t>31</t>
  </si>
  <si>
    <t>Zdi podpěrné a volné</t>
  </si>
  <si>
    <t>1</t>
  </si>
  <si>
    <t>317941123RT2</t>
  </si>
  <si>
    <t>Osazení ocelových válcovaných nosníků  č. 14 - 22 - včetně dodávky profilu I č. 14</t>
  </si>
  <si>
    <t>t</t>
  </si>
  <si>
    <t>RTS I / 2025</t>
  </si>
  <si>
    <t>31_</t>
  </si>
  <si>
    <t>3_</t>
  </si>
  <si>
    <t>_</t>
  </si>
  <si>
    <t>P</t>
  </si>
  <si>
    <t>41</t>
  </si>
  <si>
    <t>Stropy a stropní konstrukce (pro pozemní stavby)</t>
  </si>
  <si>
    <t>2</t>
  </si>
  <si>
    <t>413232211RT2</t>
  </si>
  <si>
    <t>Zazdívka zhlaví válcovaných nosníků výšky do 15cm - s použitím suché maltové směsi</t>
  </si>
  <si>
    <t>kus</t>
  </si>
  <si>
    <t>41_</t>
  </si>
  <si>
    <t>4_</t>
  </si>
  <si>
    <t>4   ;   nové konzole</t>
  </si>
  <si>
    <t>713</t>
  </si>
  <si>
    <t>Izolace tepelné</t>
  </si>
  <si>
    <t>713400811R00</t>
  </si>
  <si>
    <t>Odstranění oplechování potrubí</t>
  </si>
  <si>
    <t>m2</t>
  </si>
  <si>
    <t>7</t>
  </si>
  <si>
    <t>713_</t>
  </si>
  <si>
    <t>71_</t>
  </si>
  <si>
    <t>(0,14+0,377+0,14)*3,141*203,0   ;  DN 350     stávající TMV</t>
  </si>
  <si>
    <t>(0,06+0,159+0,06)*3,14*10,0       ;  DN 150      provizor  z prozorní lávky</t>
  </si>
  <si>
    <t>(0,03+0,02+0,03)*3,14*2,0            ; DN 20      provizor  z prozorní lávky</t>
  </si>
  <si>
    <t>713400821R00</t>
  </si>
  <si>
    <t>Odstranění izolačních pásů  potrubí</t>
  </si>
  <si>
    <t>(0,12+0,219+0,12)*3,14*3,0          ;  DN 200 - stávající rozvod TMV</t>
  </si>
  <si>
    <t>(0,06+0,159+0,06)*3,14*10,0        ;  DN 150 - provizor  z prozorní lávky</t>
  </si>
  <si>
    <t>5</t>
  </si>
  <si>
    <t>713411121R00</t>
  </si>
  <si>
    <t>Montáž tepelné izolace potrubí pásy LSP a drátem, 1 vrstvá - provizor</t>
  </si>
  <si>
    <t>;DN 150  ;    (0,06+0,159+0,06)*3,14*206,0   ;  provizor</t>
  </si>
  <si>
    <t>;DN 20    ;    (0,03+0,02+0,03)*3,14*12,0       ;  odvzdušnění</t>
  </si>
  <si>
    <t>;DN 200  ;    (0,12+0,219+0,12)*3,14*2,0       ;  L 33 - propoj</t>
  </si>
  <si>
    <t>63151672</t>
  </si>
  <si>
    <t>Pás lamelový ORSTECH LSP H 3000 x 1000 x 60 mm</t>
  </si>
  <si>
    <t>M</t>
  </si>
  <si>
    <t>;DN 150   ;  (0,06+0,159+0,06)*3,14*159,0*1,02   ;   provizor</t>
  </si>
  <si>
    <t>;DN 350   ;  (0,06+0,377+0,06)*3,14*2,0*1,02 + (0,06+0,497+0,06)*3,14*2,0*1,02  ;  L 25 - propoj</t>
  </si>
  <si>
    <t>;DN 200   ;  (0,06+0,219+0,06)*3,14*2,0*1,02 + (0,06+0,339+0,06)*2*3,14*2,0*1,02  ;  L 33 - propoj</t>
  </si>
  <si>
    <t>63151670.A</t>
  </si>
  <si>
    <t>Pás lamelový ORSTECH LSP H 5000 x 1000 x 30 mm</t>
  </si>
  <si>
    <t>;DN 20  ;  (0,03+0,02+0,03)*3,14*12,0*1,02    ;  odvzdušnění</t>
  </si>
  <si>
    <t>713491111R00</t>
  </si>
  <si>
    <t>Montáž oplechování pevného, tepelná izolace potrubí</t>
  </si>
  <si>
    <t>19420827</t>
  </si>
  <si>
    <t>Plech hladký Al 99,5 - H111, 0,60 x 1000 x 2000 mm</t>
  </si>
  <si>
    <t>kg</t>
  </si>
  <si>
    <t>998713201R00</t>
  </si>
  <si>
    <t>Přesun hmot pro izolace tepelné, výšky do 6 m</t>
  </si>
  <si>
    <t>%</t>
  </si>
  <si>
    <t>722</t>
  </si>
  <si>
    <t>Vnitřní vodovod</t>
  </si>
  <si>
    <t>722237226R00</t>
  </si>
  <si>
    <t>Kohout vodovodní kulový, 2x vnitřní závit, GIACOMINI R910, DN 50 mm</t>
  </si>
  <si>
    <t>722_</t>
  </si>
  <si>
    <t>72_</t>
  </si>
  <si>
    <t>722237222R00</t>
  </si>
  <si>
    <t>Kohout vodovodní kulový, 2x vnitřní závit, GIACOMINI R910, DN 20 mm</t>
  </si>
  <si>
    <t>2    ;  odvzdušnění</t>
  </si>
  <si>
    <t>722259112R00</t>
  </si>
  <si>
    <t>Požární příslušenství - přechody C 52-2" - vnější závit</t>
  </si>
  <si>
    <t>1    ;   L 32</t>
  </si>
  <si>
    <t>722259106R00</t>
  </si>
  <si>
    <t>Požární příslušenství - víčko spojky C 52</t>
  </si>
  <si>
    <t>998722201R00</t>
  </si>
  <si>
    <t>Přesun hmot pro vnitřní vodovod, výšky do 6 m</t>
  </si>
  <si>
    <t>732</t>
  </si>
  <si>
    <t>Strojovny</t>
  </si>
  <si>
    <t>732214815R00</t>
  </si>
  <si>
    <t>Vypuštění vody</t>
  </si>
  <si>
    <t>732_</t>
  </si>
  <si>
    <t>73_</t>
  </si>
  <si>
    <t>767</t>
  </si>
  <si>
    <t>Konstrukce doplňkové stavební (zámečnické)</t>
  </si>
  <si>
    <t>767996801R00</t>
  </si>
  <si>
    <t>Demontáž atypických ocelových konstr. do 50 kg - kluzných uložení</t>
  </si>
  <si>
    <t>767_</t>
  </si>
  <si>
    <t>76_</t>
  </si>
  <si>
    <t>;DN 350  ;  58*36,5</t>
  </si>
  <si>
    <t>767995103R00</t>
  </si>
  <si>
    <t>Výroba a montáž kov. atypických konstr. do 20 kg oprava, vyrovnání  konzolí</t>
  </si>
  <si>
    <t>58/4*18,8</t>
  </si>
  <si>
    <t>767883224RV3</t>
  </si>
  <si>
    <t>Objímka dvoušroubová, upínací sestava, ODS - pro potrubí průměru 159 - 162 mm</t>
  </si>
  <si>
    <t>ks</t>
  </si>
  <si>
    <t>58    ;  provizor</t>
  </si>
  <si>
    <t>767883224RT3</t>
  </si>
  <si>
    <t>Objímka dvoušroubová, upínací sestava, ODS - pro potrubí průměru 20 - 24 mm</t>
  </si>
  <si>
    <t>10  -  provizor</t>
  </si>
  <si>
    <t>21</t>
  </si>
  <si>
    <t>767995104R00</t>
  </si>
  <si>
    <t>Výroba a montáž kov. atypických konstr. do 50 kg - konzola pevného bodu z I 140</t>
  </si>
  <si>
    <t>22</t>
  </si>
  <si>
    <t>Výroba a montáž kov. atypických konstr. do 20 kg</t>
  </si>
  <si>
    <t>;Kotvení na mostech  ;   25,0*2</t>
  </si>
  <si>
    <t>23</t>
  </si>
  <si>
    <t>998767201R00</t>
  </si>
  <si>
    <t>Přesun hmot pro zámečnické konstr., výšky do 6 m</t>
  </si>
  <si>
    <t>783</t>
  </si>
  <si>
    <t>Nátěry</t>
  </si>
  <si>
    <t>783222120R00</t>
  </si>
  <si>
    <t>Nátěr syntetický kov.konstrukcí Hammerite 2x</t>
  </si>
  <si>
    <t>783_</t>
  </si>
  <si>
    <t>78_</t>
  </si>
  <si>
    <t>;konzoly  I č 180  =  0,641 m2  ;  54*0,641</t>
  </si>
  <si>
    <t>;Nové konzol I 140  = 0,506 m2  ;  4*0,9*0,506</t>
  </si>
  <si>
    <t>783904811R00</t>
  </si>
  <si>
    <t>Odrezivění kovových konstrukcí</t>
  </si>
  <si>
    <t>;koinzolí I 180   =  0,641 m2/m  ;  0,641 *1,0*58,0</t>
  </si>
  <si>
    <t>783201811R00</t>
  </si>
  <si>
    <t>Odstranění nátěrů z kovových konstrukcí oškrábáním</t>
  </si>
  <si>
    <t>90</t>
  </si>
  <si>
    <t>Hodinové zúčtovací sazby (HZS)</t>
  </si>
  <si>
    <t>904      R02</t>
  </si>
  <si>
    <t>Hzs-zkousky v ramci montaz.praci - Topná zkouška</t>
  </si>
  <si>
    <t>h</t>
  </si>
  <si>
    <t>90_</t>
  </si>
  <si>
    <t>9_</t>
  </si>
  <si>
    <t>905      R01</t>
  </si>
  <si>
    <t>Hzs-revize provoz.souboru a st.obj. - Revize elektro</t>
  </si>
  <si>
    <t>900      R24</t>
  </si>
  <si>
    <t>HZS - elektromontér v tarifní třídě 7 - demontáž svítidel, odpojení SU, nespecifikované práce</t>
  </si>
  <si>
    <t>94</t>
  </si>
  <si>
    <t>Lešení a stavební výtahy</t>
  </si>
  <si>
    <t>941955002R00</t>
  </si>
  <si>
    <t>Lešení lehké pomocné, výška podlahy do 1,9 m</t>
  </si>
  <si>
    <t>94_</t>
  </si>
  <si>
    <t>200,0*1,5</t>
  </si>
  <si>
    <t>95</t>
  </si>
  <si>
    <t>Různé dokončovací konstrukce a práce na pozemních stavbách</t>
  </si>
  <si>
    <t>953981206R00</t>
  </si>
  <si>
    <t>Chemické kotvy, beton, hl.210 mm, M24, malta 2slož</t>
  </si>
  <si>
    <t>95_</t>
  </si>
  <si>
    <t>30907646</t>
  </si>
  <si>
    <t>Šroub do zdiva 021391 tvar B  M24 x 320 mm</t>
  </si>
  <si>
    <t>97</t>
  </si>
  <si>
    <t>Prorážení otvorů a ostatní bourací práce</t>
  </si>
  <si>
    <t>970041250R00</t>
  </si>
  <si>
    <t>Vrtání jádrové do prostého betonu do D 250 mm</t>
  </si>
  <si>
    <t>m</t>
  </si>
  <si>
    <t>97_</t>
  </si>
  <si>
    <t>4 * 0,5  ;  pro nové konzole</t>
  </si>
  <si>
    <t>H27</t>
  </si>
  <si>
    <t>Přesun hmot HSV</t>
  </si>
  <si>
    <t>998272201R00</t>
  </si>
  <si>
    <t>Přesun hmot, trubní vedení ocelové, otevřený výkop</t>
  </si>
  <si>
    <t>H27_</t>
  </si>
  <si>
    <t>M23</t>
  </si>
  <si>
    <t>Montáže potrubí</t>
  </si>
  <si>
    <t>230011088R00</t>
  </si>
  <si>
    <t>Montáž trubky ocelové 159 x 4,5</t>
  </si>
  <si>
    <t>M23_</t>
  </si>
  <si>
    <t>206,0   ;  provizor</t>
  </si>
  <si>
    <t>14215910</t>
  </si>
  <si>
    <t>Trubka bezešvá hladká 11 353.0, rozměr 159,0 x 4,5 mm</t>
  </si>
  <si>
    <t>230011017R00</t>
  </si>
  <si>
    <t>Montáž trubky ocelové 28  x 2,6</t>
  </si>
  <si>
    <t>12,0   ;  odvzdušnění</t>
  </si>
  <si>
    <t>14110971</t>
  </si>
  <si>
    <t>Trubka bezešvá hladká 11 353, rozměr 28,0 x 2,6 mm</t>
  </si>
  <si>
    <t>230011135R00</t>
  </si>
  <si>
    <t>Montáž trubky ocelové 377 x 9</t>
  </si>
  <si>
    <t>2,0   ;  L 25 - propoj</t>
  </si>
  <si>
    <t>14235915</t>
  </si>
  <si>
    <t>Trubka bezešvá hladká 11 353.1, rozměr 377,0 x 10,0 mm</t>
  </si>
  <si>
    <t>2,0  ;   L 25 - propoj</t>
  </si>
  <si>
    <t>230011101R00</t>
  </si>
  <si>
    <t>Montáž trubky ocelové 219 x 6,3</t>
  </si>
  <si>
    <t>2,0   ;   L 33 - propoj</t>
  </si>
  <si>
    <t>14221291</t>
  </si>
  <si>
    <t>Trubka bezešvá hladká 11 353.0, rozměr 219,0 x 6,3 mm</t>
  </si>
  <si>
    <t>2,0   ;  L 33 - propoj</t>
  </si>
  <si>
    <t>230023101R00</t>
  </si>
  <si>
    <t>Montáž trub.dílů přivař.do 10 kg tř.11-13, 219 x 6,3</t>
  </si>
  <si>
    <t>1   ;  L 33</t>
  </si>
  <si>
    <t>141 1321121VD</t>
  </si>
  <si>
    <t>Varná redukce DN 200 x DN 150 (219,1 x 168,3mm</t>
  </si>
  <si>
    <t>1    ;   L 33</t>
  </si>
  <si>
    <t>230024131R00</t>
  </si>
  <si>
    <t>Montáž trub.dílů přivař.do 50 kg tř.11-13, 377 x 5</t>
  </si>
  <si>
    <t>1  ;   L 25</t>
  </si>
  <si>
    <t>141 132111VD</t>
  </si>
  <si>
    <t>Varná redukce DN 300 x DN 150 (323,9 x 159 mm</t>
  </si>
  <si>
    <t>1   ;  L 25</t>
  </si>
  <si>
    <t>230022318R00</t>
  </si>
  <si>
    <t>Montáž trub.dílů přivař.do 3 kg tř.15, 159 x 4,5</t>
  </si>
  <si>
    <t>2   ;   T kus   L 31 + L 32</t>
  </si>
  <si>
    <t>2   ;   příruba     L 31 + L 32</t>
  </si>
  <si>
    <t>4   ;   oblouk 30°</t>
  </si>
  <si>
    <t>2   ;   U - kompenzátor LM</t>
  </si>
  <si>
    <t>8   ;   ohyb 90°    kompenzátory</t>
  </si>
  <si>
    <t>141 31156VD</t>
  </si>
  <si>
    <t>T-kus DN150 (159x4,5mm), varný,</t>
  </si>
  <si>
    <t>2   ;  L 31 + L 32  odbočky</t>
  </si>
  <si>
    <t>141 12VD</t>
  </si>
  <si>
    <t>Příruba krková PN 16 - DN150</t>
  </si>
  <si>
    <t>2   ;   L 31 + L 32    odbočky</t>
  </si>
  <si>
    <t>141 07VD</t>
  </si>
  <si>
    <t>Trubkový oblouk 30° - koleno varné DIN 150</t>
  </si>
  <si>
    <t>4    ;  L 25 + L 33</t>
  </si>
  <si>
    <t>141 081VD</t>
  </si>
  <si>
    <t>Koleno ocelové bezešvé varné 1,5D, 90° - DN 150</t>
  </si>
  <si>
    <t>2   ; U - kompenzátor - Lázeňský most</t>
  </si>
  <si>
    <t>Ohyb ocelový bezešvý varný 3D, 90° DN150 (159x4,5)</t>
  </si>
  <si>
    <t>8   ;   kompenzátory</t>
  </si>
  <si>
    <t>230120048R00</t>
  </si>
  <si>
    <t>Čištění potrubí profukováním nebo proplach. DN 150</t>
  </si>
  <si>
    <t>206,0*2</t>
  </si>
  <si>
    <t>230120022R00</t>
  </si>
  <si>
    <t>Desinfekce potrubí DN 150</t>
  </si>
  <si>
    <t>206</t>
  </si>
  <si>
    <t>230170014R00</t>
  </si>
  <si>
    <t>Zkouška těsnosti potrubí, DN 150 - 200</t>
  </si>
  <si>
    <t>230 10VD</t>
  </si>
  <si>
    <t>Přesun a výpomoce</t>
  </si>
  <si>
    <t>141 00VD</t>
  </si>
  <si>
    <t>Drobný montážní a spojovací materiál, ztratné</t>
  </si>
  <si>
    <t>S</t>
  </si>
  <si>
    <t>Přesuny sutí</t>
  </si>
  <si>
    <t>979082111R00</t>
  </si>
  <si>
    <t>Vnitrostaveništní doprava suti do 10 m</t>
  </si>
  <si>
    <t>S_</t>
  </si>
  <si>
    <t>2,2058                 ;   plech izolace</t>
  </si>
  <si>
    <t>0,8547                 ;  izolace vlna</t>
  </si>
  <si>
    <t>2,2229                 ;   uložení</t>
  </si>
  <si>
    <t>(0,0616+0,0033 )   ;  provizor</t>
  </si>
  <si>
    <t>(50,75+0,15)          ;  stávající rozvod TMV</t>
  </si>
  <si>
    <t>(0,06 +0,06)           ;  uzávěr + kryt</t>
  </si>
  <si>
    <t>979082121R00</t>
  </si>
  <si>
    <t>Příplatek k vnitrost. dopravě suti za dalších 5 m</t>
  </si>
  <si>
    <t>2,2058*18                 ;   plech izolace</t>
  </si>
  <si>
    <t>0,8547*18                 ;  izolace vlna</t>
  </si>
  <si>
    <t>2,2229*18                 ;   uložení</t>
  </si>
  <si>
    <t>(0,0616+0,0033 )*18   ;  provizor</t>
  </si>
  <si>
    <t>(50,75+0,15)*18          ;  stávající rozvod TMV</t>
  </si>
  <si>
    <t>979081111R00</t>
  </si>
  <si>
    <t>Odvoz suti a vybour. hmot na skládku do 1 km</t>
  </si>
  <si>
    <t>0,0616+0,0033    ;  provizor</t>
  </si>
  <si>
    <t>50,75+0,15          ;  stávající rozvod TMV</t>
  </si>
  <si>
    <t>0,06 +0,06           ;  uzávěr + kryt</t>
  </si>
  <si>
    <t>979082119R00</t>
  </si>
  <si>
    <t>Příplatek k přesunu suti za každých dalších 1000 m</t>
  </si>
  <si>
    <t>979990144R00</t>
  </si>
  <si>
    <t>Poplatek za uložení suti - minerální vata, skupina odpadu 170604</t>
  </si>
  <si>
    <t>979990191R00</t>
  </si>
  <si>
    <t>Poplatek za uložení suti - zarostlé potrubí výrobky, skupina odpadu 170203</t>
  </si>
  <si>
    <t>M23-D</t>
  </si>
  <si>
    <t>Demontáže potrubí</t>
  </si>
  <si>
    <t>230083134R00</t>
  </si>
  <si>
    <t>Demontáž do šrotu do 250 kg, rozměr 377 x 9</t>
  </si>
  <si>
    <t>M23-D_</t>
  </si>
  <si>
    <t>;DN 350  ;  203,0   ;  1,0 m = 250 Kg/m  zarostlé kamenem  -  stávající  TMV</t>
  </si>
  <si>
    <t>230082100R00</t>
  </si>
  <si>
    <t>Demontáž do šrotu do 50 kg, rozměr 219 x 6,3</t>
  </si>
  <si>
    <t>230082087R00</t>
  </si>
  <si>
    <t>Demontáž do šrotu do 50 kg, rozměr 159 x 4,5</t>
  </si>
  <si>
    <t>;DN 150  ;  3     ;  1,0 m = 17,20 kg/m   =  3,33 m x 17,2 kg/m = 20,53 kg/kus</t>
  </si>
  <si>
    <t>230081008R00</t>
  </si>
  <si>
    <t>Demontáž do šrotu do 10 kg, rozměr 22 x 2,6</t>
  </si>
  <si>
    <t>;DN 20  ;  1,0   ;   1 m = 1,66 kg/m  t. j. 1 kus =  2,0 m  x 1,66 kg/m = 3,32 kg/m</t>
  </si>
  <si>
    <t>230082337R00</t>
  </si>
  <si>
    <t>Demontáž pro další použití do 250 kg, 219 x 20 - uzávěru s pohonem DN 200</t>
  </si>
  <si>
    <t>767999801R00</t>
  </si>
  <si>
    <t>Demontáž doplňků staveb o hmotnosti do 50 kg  - krycí skříně SU</t>
  </si>
  <si>
    <t>734441812R00</t>
  </si>
  <si>
    <t>Demontáž regulátoru teploty</t>
  </si>
  <si>
    <t>Celkem:</t>
  </si>
  <si>
    <t>Poznámka:</t>
  </si>
  <si>
    <t>Stavební rozpočet - Jen podskupiny</t>
  </si>
  <si>
    <t>T</t>
  </si>
  <si>
    <t>IČO/DIČ:</t>
  </si>
  <si>
    <t>Položek: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</si>
  <si>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</si>
  <si>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</si>
  <si>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</si>
  <si>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</si>
  <si>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</si>
  <si>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</si>
  <si>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</si>
  <si>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</si>
  <si>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</si>
  <si>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</si>
  <si>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</si>
  <si>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</si>
  <si>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</si>
  <si>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</si>
  <si>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</si>
  <si>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</si>
  <si>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</si>
  <si>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</si>
  <si>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</si>
  <si>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</si>
  <si>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</si>
  <si>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</si>
  <si>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</si>
  <si>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</si>
  <si>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</si>
  <si>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</si>
  <si>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</si>
  <si>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</si>
  <si>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</si>
  <si>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</si>
  <si>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</si>
  <si>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</si>
  <si>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</si>
  <si>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</si>
  <si>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</si>
  <si>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</si>
  <si>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</si>
  <si>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</si>
  <si>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</si>
  <si>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</si>
  <si>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</si>
  <si>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Vedlejší a ostatní rozpočtové náklady</t>
  </si>
  <si>
    <t>Vedlejší rozpočtové náklady VRN</t>
  </si>
  <si>
    <t>Doplňkové náklady DN</t>
  </si>
  <si>
    <t>Kč</t>
  </si>
  <si>
    <t>Základna</t>
  </si>
  <si>
    <t>Celkem DN</t>
  </si>
  <si>
    <t>Celkem NUS</t>
  </si>
  <si>
    <t>Celkem VRN</t>
  </si>
  <si>
    <t>Ostatní rozpočtové náklady ORN</t>
  </si>
  <si>
    <t>Ostatní rozpočtové náklady (ORN)</t>
  </si>
  <si>
    <t>Celkem ORN</t>
  </si>
  <si>
    <t xml:space="preserve">HL.III - Rozbor nákladů </t>
  </si>
  <si>
    <t>SO 01 - Potrubní rozvody</t>
  </si>
  <si>
    <t>odvoz na skládku, dopr. opatření, zajištění staveniště, přesuny hmot</t>
  </si>
  <si>
    <t>Lešení v korytě řeky, dodávka, montáž, demontáž</t>
  </si>
  <si>
    <t>Demontáž stáv. potrubí, likvidace</t>
  </si>
  <si>
    <t xml:space="preserve">Provizorní vedení </t>
  </si>
  <si>
    <t>SO 01  celkem</t>
  </si>
  <si>
    <t>HLAVA III celkem</t>
  </si>
  <si>
    <t>VEDLEJŠÍ NÁKLADY</t>
  </si>
  <si>
    <t>Provoz investora</t>
  </si>
  <si>
    <t>Místní vlivy</t>
  </si>
  <si>
    <t>Zábory veřejného prostranství</t>
  </si>
  <si>
    <t>HLAVA VI celkem</t>
  </si>
  <si>
    <t>KOMPLETAČNÍ ČINNOST</t>
  </si>
  <si>
    <t>HLAVA IX celkem</t>
  </si>
  <si>
    <t xml:space="preserve">STAVBA: </t>
  </si>
  <si>
    <t>Celkové náklady stavby ( v Kč bez DPH )</t>
  </si>
  <si>
    <t>HL.I</t>
  </si>
  <si>
    <t>Projektové a průzkumné práce</t>
  </si>
  <si>
    <t>Dokumentace skutečného provedení</t>
  </si>
  <si>
    <t>Geodetické zaměření provedené stavby, geometrický plán</t>
  </si>
  <si>
    <t>HL.II</t>
  </si>
  <si>
    <t>Provozní soubory</t>
  </si>
  <si>
    <t>-</t>
  </si>
  <si>
    <t>HL.III</t>
  </si>
  <si>
    <t>Stavební objekty</t>
  </si>
  <si>
    <t>HL.IV</t>
  </si>
  <si>
    <t>Stroje,zařízení,nářadí,inventář</t>
  </si>
  <si>
    <t>HL.V</t>
  </si>
  <si>
    <t>Umělecká díla</t>
  </si>
  <si>
    <t>HL.VI</t>
  </si>
  <si>
    <t>Vedlejší rozpočt. náklady celkem</t>
  </si>
  <si>
    <t>HL.VII</t>
  </si>
  <si>
    <t>Ostatní náklady</t>
  </si>
  <si>
    <t>HL.VIII</t>
  </si>
  <si>
    <t>Rezerva</t>
  </si>
  <si>
    <t>HL.IX</t>
  </si>
  <si>
    <t>Jiné investice</t>
  </si>
  <si>
    <t>HL.X</t>
  </si>
  <si>
    <t>Náklady hrazené z invest. prostředků</t>
  </si>
  <si>
    <t>nezahrnované do ZP</t>
  </si>
  <si>
    <t>HL.XI</t>
  </si>
  <si>
    <t>Kompletační činnost</t>
  </si>
  <si>
    <t>Celkem ( bez DPH )</t>
  </si>
  <si>
    <t>KARLOVY VARY, LÁZEŇSKÝ MOST M14 - REKONSTRUKCE, DOČASNÉ PŘELOŽENÍ VEDENÍ VŘÍDELNÍ VODY DN 350</t>
  </si>
  <si>
    <t>KARLOVY VARY, VÝMĚNA GRAVITAČNÍHO ŘÁDU TERMOMINERÁLNÍ VODY</t>
  </si>
  <si>
    <t xml:space="preserve">Stavební a bourací práce, </t>
  </si>
  <si>
    <t>Uložení potrubí, dodávka, montáž</t>
  </si>
  <si>
    <t>DN 150</t>
  </si>
  <si>
    <t>DN 350, 200</t>
  </si>
  <si>
    <t>Stavební práce,  izolované potrubí</t>
  </si>
  <si>
    <t>ALFA-projekt, s.r.o., K Panelárně 172, 352 32 Otovice</t>
  </si>
  <si>
    <t>1   ;    L 33 - do skladu</t>
  </si>
  <si>
    <t>(0,06 +0,06)*5           ;  uzávěr + kryt</t>
  </si>
  <si>
    <t>121 00VD</t>
  </si>
  <si>
    <t>Vytýčení inž. sítí</t>
  </si>
  <si>
    <t>Plán BOZP</t>
  </si>
  <si>
    <t>Hav. a pov. plán</t>
  </si>
  <si>
    <t>;Pevný bod    ;   0,9669*(0,12+0,055)*4*2+0,25*0,25*2</t>
  </si>
  <si>
    <t>;DN 350  ;  (0,01+0,14+0,374+0,14+0,01)*3,14*2,0   ;   L 25 - propoj</t>
  </si>
  <si>
    <t>;DN 200  ;  (0,01+0,12+0,219+0,12+0,01)*3,14*2,0       ;   L 33 - propoj</t>
  </si>
  <si>
    <t>;DN 200  ;  (0,01+0,12+0,219+0,12+0,01)*3,14*2,0*1,9       ;   L 33 - propoj</t>
  </si>
  <si>
    <t>(0,12+0,219+0,12)*3,14*3,0             ;  DN 200     szávající TMV</t>
  </si>
  <si>
    <t>(0,14+0,377+0,14)*3,141*203,0   ;  DN 350 - stávající rozvod TMV</t>
  </si>
  <si>
    <t>;DN 350  ;    (0,14+0,377+0,14)*3,14*2,0       ;  L 25 - propoj</t>
  </si>
  <si>
    <t>;DN 350  ;  (0,01+0,14+0,377+0,14+0,01)*3,14*2,0*1,9   ;   L 25 - propoj</t>
  </si>
  <si>
    <t>Drobný montážní a spojovací materiál, svork skříń, ztratné</t>
  </si>
  <si>
    <t>Varná redukce DN 350 x DN 150 (377 x 159 mm )</t>
  </si>
  <si>
    <t>Varná redukce DN 200 x DN 150 (219,1 x 159,0 mm )</t>
  </si>
  <si>
    <t>;DN 200   ;    3,0    ;  1 m = 55 kg/m   -  zarostlé kamenem  -  stávající  TMV</t>
  </si>
  <si>
    <t>Demontáž do šrotu do 10 kg, rozměr 28 x 2,6</t>
  </si>
  <si>
    <t>Demontáž čidla teploty</t>
  </si>
  <si>
    <t>1    ;   L 32 - vypouštění</t>
  </si>
  <si>
    <t>;Vzpěra konzole + opěr. plech ;   (13,4*4*2+3,9*2*2)*1,02</t>
  </si>
  <si>
    <t>Výroba a montáž kov. atypických konstr. do 50 kg - konzola pevného bodu I 140</t>
  </si>
  <si>
    <t>1,4*(4+8)*14,3/1000   ;   nové konzole 4 ks + oprava stávajících 8 ks</t>
  </si>
  <si>
    <t>15   ;  oprava stávajících konzol  - vyrovnání 7 ks, navaření 8 ks</t>
  </si>
  <si>
    <t>50,0   ;  L 33 - do skladu</t>
  </si>
  <si>
    <t>141 31157VD</t>
  </si>
  <si>
    <t>Stojan kotevní přivařovací, ON 130857</t>
  </si>
  <si>
    <t>2   ;   stojan kotevní   L 25 + L 33</t>
  </si>
  <si>
    <t>139 00VD</t>
  </si>
  <si>
    <t>950 04VD</t>
  </si>
  <si>
    <t>Pronájem staveništního oplocení, plné, délka pole 3,0/2,0 m (do 3 měsíců), patka spony, vzpěra aj.</t>
  </si>
  <si>
    <t>den</t>
  </si>
  <si>
    <t>950 041VD</t>
  </si>
  <si>
    <t>Montáž staveništního oplocení</t>
  </si>
  <si>
    <t>950 042VD</t>
  </si>
  <si>
    <t>Demontáž staveništního oplocení</t>
  </si>
  <si>
    <t>;14 polí  ;  14*3,0     ;    sklad materiálu</t>
  </si>
  <si>
    <t>Přech. dopr. opatření</t>
  </si>
  <si>
    <t>Oprava stávajících konzolí, narovnání, navaření</t>
  </si>
  <si>
    <t>8   ;  pro vzpěry konzole - pevný bod</t>
  </si>
  <si>
    <t>8 / 1000   ;  pro nové konzole - pevný bod</t>
  </si>
  <si>
    <t>;14 polí  ;  14*3,0*45     ;    sklad materiálu</t>
  </si>
  <si>
    <t>0,2636+0,4096+0,474+0,0084+3,933</t>
  </si>
  <si>
    <t>Krycí list výkazu výměr</t>
  </si>
  <si>
    <t>SOUHRNNÝ ROZPOČET - SLEPÝ</t>
  </si>
</sst>
</file>

<file path=xl/styles.xml><?xml version="1.0" encoding="utf-8"?>
<styleSheet xmlns="http://schemas.openxmlformats.org/spreadsheetml/2006/main">
  <numFmts count="6">
    <numFmt numFmtId="164" formatCode="0&quot; bm, &quot;"/>
    <numFmt numFmtId="165" formatCode="#,##0&quot; Kč/bm&quot;"/>
    <numFmt numFmtId="166" formatCode="0&quot; ks &quot;"/>
    <numFmt numFmtId="167" formatCode="#,##0&quot; Kč/ks&quot;"/>
    <numFmt numFmtId="168" formatCode="0&quot; m2 &quot;"/>
    <numFmt numFmtId="169" formatCode="0.0%"/>
  </numFmts>
  <fonts count="25">
    <font>
      <sz val="11"/>
      <name val="Calibri"/>
      <charset val="1"/>
    </font>
    <font>
      <sz val="18"/>
      <color rgb="FF000000"/>
      <name val="Arial"/>
      <charset val="238"/>
    </font>
    <font>
      <b/>
      <sz val="10"/>
      <color rgb="FF000000"/>
      <name val="Arial"/>
      <charset val="238"/>
    </font>
    <font>
      <sz val="10"/>
      <color rgb="FF000000"/>
      <name val="Arial"/>
      <charset val="238"/>
    </font>
    <font>
      <i/>
      <sz val="10"/>
      <color rgb="FF000000"/>
      <name val="Arial"/>
      <charset val="238"/>
    </font>
    <font>
      <i/>
      <sz val="8"/>
      <color rgb="FF000000"/>
      <name val="Arial"/>
      <charset val="238"/>
    </font>
    <font>
      <b/>
      <sz val="18"/>
      <color rgb="FF000000"/>
      <name val="Arial"/>
      <charset val="238"/>
    </font>
    <font>
      <b/>
      <sz val="20"/>
      <color rgb="FF000000"/>
      <name val="Arial"/>
      <charset val="238"/>
    </font>
    <font>
      <b/>
      <sz val="11"/>
      <color rgb="FF000000"/>
      <name val="Arial"/>
      <charset val="238"/>
    </font>
    <font>
      <b/>
      <sz val="12"/>
      <color rgb="FF000000"/>
      <name val="Arial"/>
      <charset val="238"/>
    </font>
    <font>
      <sz val="12"/>
      <color rgb="FF000000"/>
      <name val="Arial"/>
      <charset val="238"/>
    </font>
    <font>
      <sz val="10"/>
      <color rgb="FF000000"/>
      <name val="Arial"/>
      <family val="2"/>
      <charset val="238"/>
    </font>
    <font>
      <b/>
      <u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b/>
      <sz val="12"/>
      <color rgb="FFFF000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Calibri"/>
      <family val="2"/>
      <charset val="238"/>
    </font>
    <font>
      <i/>
      <sz val="10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9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1">
    <xf numFmtId="0" fontId="0" fillId="0" borderId="0" xfId="0"/>
    <xf numFmtId="4" fontId="2" fillId="2" borderId="0" xfId="0" applyNumberFormat="1" applyFont="1" applyFill="1" applyBorder="1" applyAlignment="1" applyProtection="1">
      <alignment horizontal="right" vertical="center"/>
    </xf>
    <xf numFmtId="0" fontId="3" fillId="0" borderId="5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1" xfId="0" applyNumberFormat="1" applyFont="1" applyFill="1" applyBorder="1" applyAlignment="1" applyProtection="1">
      <alignment horizontal="left" vertical="center"/>
    </xf>
    <xf numFmtId="0" fontId="2" fillId="0" borderId="11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/>
    </xf>
    <xf numFmtId="0" fontId="2" fillId="0" borderId="15" xfId="0" applyNumberFormat="1" applyFont="1" applyFill="1" applyBorder="1" applyAlignment="1" applyProtection="1">
      <alignment horizontal="center" vertical="center"/>
    </xf>
    <xf numFmtId="0" fontId="2" fillId="0" borderId="19" xfId="0" applyNumberFormat="1" applyFont="1" applyFill="1" applyBorder="1" applyAlignment="1" applyProtection="1">
      <alignment horizontal="center" vertical="center"/>
    </xf>
    <xf numFmtId="0" fontId="2" fillId="0" borderId="22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3" fillId="0" borderId="23" xfId="0" applyNumberFormat="1" applyFont="1" applyFill="1" applyBorder="1" applyAlignment="1" applyProtection="1">
      <alignment horizontal="left" vertical="center"/>
    </xf>
    <xf numFmtId="0" fontId="3" fillId="0" borderId="24" xfId="0" applyNumberFormat="1" applyFont="1" applyFill="1" applyBorder="1" applyAlignment="1" applyProtection="1">
      <alignment horizontal="left" vertical="center"/>
    </xf>
    <xf numFmtId="0" fontId="2" fillId="0" borderId="27" xfId="0" applyNumberFormat="1" applyFont="1" applyFill="1" applyBorder="1" applyAlignment="1" applyProtection="1">
      <alignment horizontal="center" vertical="center"/>
    </xf>
    <xf numFmtId="0" fontId="3" fillId="0" borderId="28" xfId="0" applyNumberFormat="1" applyFont="1" applyFill="1" applyBorder="1" applyAlignment="1" applyProtection="1">
      <alignment horizontal="left" vertical="center"/>
    </xf>
    <xf numFmtId="0" fontId="2" fillId="0" borderId="29" xfId="0" applyNumberFormat="1" applyFont="1" applyFill="1" applyBorder="1" applyAlignment="1" applyProtection="1">
      <alignment horizontal="center" vertical="center"/>
    </xf>
    <xf numFmtId="0" fontId="2" fillId="0" borderId="30" xfId="0" applyNumberFormat="1" applyFont="1" applyFill="1" applyBorder="1" applyAlignment="1" applyProtection="1">
      <alignment horizontal="center" vertical="center"/>
    </xf>
    <xf numFmtId="0" fontId="2" fillId="0" borderId="31" xfId="0" applyNumberFormat="1" applyFont="1" applyFill="1" applyBorder="1" applyAlignment="1" applyProtection="1">
      <alignment horizontal="center" vertical="center"/>
    </xf>
    <xf numFmtId="0" fontId="2" fillId="0" borderId="32" xfId="0" applyNumberFormat="1" applyFont="1" applyFill="1" applyBorder="1" applyAlignment="1" applyProtection="1">
      <alignment horizontal="center" vertical="center"/>
    </xf>
    <xf numFmtId="0" fontId="2" fillId="0" borderId="33" xfId="0" applyNumberFormat="1" applyFont="1" applyFill="1" applyBorder="1" applyAlignment="1" applyProtection="1">
      <alignment horizontal="center" vertical="center"/>
    </xf>
    <xf numFmtId="0" fontId="2" fillId="0" borderId="34" xfId="0" applyNumberFormat="1" applyFont="1" applyFill="1" applyBorder="1" applyAlignment="1" applyProtection="1">
      <alignment horizontal="center" vertical="center"/>
    </xf>
    <xf numFmtId="0" fontId="2" fillId="0" borderId="35" xfId="0" applyNumberFormat="1" applyFont="1" applyFill="1" applyBorder="1" applyAlignment="1" applyProtection="1">
      <alignment horizontal="center" vertical="center"/>
    </xf>
    <xf numFmtId="0" fontId="3" fillId="2" borderId="36" xfId="0" applyNumberFormat="1" applyFont="1" applyFill="1" applyBorder="1" applyAlignment="1" applyProtection="1">
      <alignment horizontal="left" vertical="center"/>
    </xf>
    <xf numFmtId="0" fontId="2" fillId="2" borderId="37" xfId="0" applyNumberFormat="1" applyFont="1" applyFill="1" applyBorder="1" applyAlignment="1" applyProtection="1">
      <alignment horizontal="left" vertical="center"/>
    </xf>
    <xf numFmtId="0" fontId="3" fillId="2" borderId="37" xfId="0" applyNumberFormat="1" applyFont="1" applyFill="1" applyBorder="1" applyAlignment="1" applyProtection="1">
      <alignment horizontal="left" vertical="center"/>
    </xf>
    <xf numFmtId="4" fontId="2" fillId="2" borderId="37" xfId="0" applyNumberFormat="1" applyFont="1" applyFill="1" applyBorder="1" applyAlignment="1" applyProtection="1">
      <alignment horizontal="right" vertical="center"/>
    </xf>
    <xf numFmtId="0" fontId="2" fillId="2" borderId="37" xfId="0" applyNumberFormat="1" applyFont="1" applyFill="1" applyBorder="1" applyAlignment="1" applyProtection="1">
      <alignment horizontal="right" vertical="center"/>
    </xf>
    <xf numFmtId="0" fontId="2" fillId="2" borderId="38" xfId="0" applyNumberFormat="1" applyFont="1" applyFill="1" applyBorder="1" applyAlignment="1" applyProtection="1">
      <alignment horizontal="right" vertical="center"/>
    </xf>
    <xf numFmtId="4" fontId="3" fillId="0" borderId="0" xfId="0" applyNumberFormat="1" applyFont="1" applyFill="1" applyBorder="1" applyAlignment="1" applyProtection="1">
      <alignment horizontal="right" vertical="center"/>
    </xf>
    <xf numFmtId="1" fontId="3" fillId="0" borderId="0" xfId="0" applyNumberFormat="1" applyFont="1" applyFill="1" applyBorder="1" applyAlignment="1" applyProtection="1">
      <alignment horizontal="right" vertical="center"/>
    </xf>
    <xf numFmtId="0" fontId="3" fillId="0" borderId="6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0" fillId="0" borderId="5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4" fontId="4" fillId="0" borderId="0" xfId="0" applyNumberFormat="1" applyFont="1" applyFill="1" applyBorder="1" applyAlignment="1" applyProtection="1">
      <alignment horizontal="right" vertical="center"/>
    </xf>
    <xf numFmtId="0" fontId="0" fillId="0" borderId="6" xfId="0" applyNumberFormat="1" applyFont="1" applyFill="1" applyBorder="1" applyAlignment="1" applyProtection="1"/>
    <xf numFmtId="0" fontId="3" fillId="2" borderId="5" xfId="0" applyNumberFormat="1" applyFont="1" applyFill="1" applyBorder="1" applyAlignment="1" applyProtection="1">
      <alignment horizontal="left" vertical="center"/>
    </xf>
    <xf numFmtId="0" fontId="2" fillId="2" borderId="0" xfId="0" applyNumberFormat="1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>
      <alignment horizontal="left" vertical="center"/>
    </xf>
    <xf numFmtId="0" fontId="2" fillId="2" borderId="6" xfId="0" applyNumberFormat="1" applyFont="1" applyFill="1" applyBorder="1" applyAlignment="1" applyProtection="1">
      <alignment horizontal="right" vertical="center"/>
    </xf>
    <xf numFmtId="0" fontId="0" fillId="0" borderId="39" xfId="0" applyNumberFormat="1" applyFont="1" applyFill="1" applyBorder="1" applyAlignment="1" applyProtection="1"/>
    <xf numFmtId="0" fontId="0" fillId="0" borderId="40" xfId="0" applyNumberFormat="1" applyFont="1" applyFill="1" applyBorder="1" applyAlignment="1" applyProtection="1"/>
    <xf numFmtId="0" fontId="4" fillId="0" borderId="40" xfId="0" applyNumberFormat="1" applyFont="1" applyFill="1" applyBorder="1" applyAlignment="1" applyProtection="1">
      <alignment horizontal="left" vertical="center"/>
    </xf>
    <xf numFmtId="4" fontId="4" fillId="0" borderId="40" xfId="0" applyNumberFormat="1" applyFont="1" applyFill="1" applyBorder="1" applyAlignment="1" applyProtection="1">
      <alignment horizontal="right" vertical="center"/>
    </xf>
    <xf numFmtId="0" fontId="0" fillId="0" borderId="41" xfId="0" applyNumberFormat="1" applyFont="1" applyFill="1" applyBorder="1" applyAlignment="1" applyProtection="1"/>
    <xf numFmtId="4" fontId="2" fillId="0" borderId="42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3" fillId="0" borderId="22" xfId="0" applyNumberFormat="1" applyFont="1" applyFill="1" applyBorder="1" applyAlignment="1" applyProtection="1">
      <alignment horizontal="left" vertical="center"/>
    </xf>
    <xf numFmtId="0" fontId="3" fillId="0" borderId="11" xfId="0" applyNumberFormat="1" applyFont="1" applyFill="1" applyBorder="1" applyAlignment="1" applyProtection="1">
      <alignment horizontal="left" vertical="center"/>
    </xf>
    <xf numFmtId="0" fontId="2" fillId="0" borderId="35" xfId="0" applyNumberFormat="1" applyFont="1" applyFill="1" applyBorder="1" applyAlignment="1" applyProtection="1">
      <alignment horizontal="left" vertical="center"/>
    </xf>
    <xf numFmtId="0" fontId="2" fillId="0" borderId="24" xfId="0" applyNumberFormat="1" applyFont="1" applyFill="1" applyBorder="1" applyAlignment="1" applyProtection="1">
      <alignment horizontal="left" vertical="center"/>
    </xf>
    <xf numFmtId="0" fontId="3" fillId="0" borderId="36" xfId="0" applyNumberFormat="1" applyFont="1" applyFill="1" applyBorder="1" applyAlignment="1" applyProtection="1">
      <alignment horizontal="left" vertical="center"/>
    </xf>
    <xf numFmtId="0" fontId="3" fillId="0" borderId="37" xfId="0" applyNumberFormat="1" applyFont="1" applyFill="1" applyBorder="1" applyAlignment="1" applyProtection="1">
      <alignment horizontal="left" vertical="center"/>
    </xf>
    <xf numFmtId="4" fontId="3" fillId="0" borderId="37" xfId="0" applyNumberFormat="1" applyFont="1" applyFill="1" applyBorder="1" applyAlignment="1" applyProtection="1">
      <alignment horizontal="right" vertical="center"/>
    </xf>
    <xf numFmtId="4" fontId="3" fillId="0" borderId="38" xfId="0" applyNumberFormat="1" applyFont="1" applyFill="1" applyBorder="1" applyAlignment="1" applyProtection="1">
      <alignment horizontal="right" vertical="center"/>
    </xf>
    <xf numFmtId="0" fontId="3" fillId="0" borderId="47" xfId="0" applyNumberFormat="1" applyFont="1" applyFill="1" applyBorder="1" applyAlignment="1" applyProtection="1">
      <alignment horizontal="right" vertical="center"/>
    </xf>
    <xf numFmtId="4" fontId="3" fillId="0" borderId="6" xfId="0" applyNumberFormat="1" applyFont="1" applyFill="1" applyBorder="1" applyAlignment="1" applyProtection="1">
      <alignment horizontal="right" vertical="center"/>
    </xf>
    <xf numFmtId="0" fontId="3" fillId="0" borderId="39" xfId="0" applyNumberFormat="1" applyFont="1" applyFill="1" applyBorder="1" applyAlignment="1" applyProtection="1">
      <alignment horizontal="left" vertical="center"/>
    </xf>
    <xf numFmtId="0" fontId="3" fillId="0" borderId="40" xfId="0" applyNumberFormat="1" applyFont="1" applyFill="1" applyBorder="1" applyAlignment="1" applyProtection="1">
      <alignment horizontal="left" vertical="center"/>
    </xf>
    <xf numFmtId="4" fontId="3" fillId="0" borderId="40" xfId="0" applyNumberFormat="1" applyFont="1" applyFill="1" applyBorder="1" applyAlignment="1" applyProtection="1">
      <alignment horizontal="right" vertical="center"/>
    </xf>
    <xf numFmtId="4" fontId="3" fillId="0" borderId="41" xfId="0" applyNumberFormat="1" applyFont="1" applyFill="1" applyBorder="1" applyAlignment="1" applyProtection="1">
      <alignment horizontal="right" vertical="center"/>
    </xf>
    <xf numFmtId="0" fontId="7" fillId="2" borderId="49" xfId="0" applyNumberFormat="1" applyFont="1" applyFill="1" applyBorder="1" applyAlignment="1" applyProtection="1">
      <alignment horizontal="center" vertical="center"/>
    </xf>
    <xf numFmtId="0" fontId="7" fillId="2" borderId="52" xfId="0" applyNumberFormat="1" applyFont="1" applyFill="1" applyBorder="1" applyAlignment="1" applyProtection="1">
      <alignment horizontal="center" vertical="center"/>
    </xf>
    <xf numFmtId="0" fontId="9" fillId="0" borderId="53" xfId="0" applyNumberFormat="1" applyFont="1" applyFill="1" applyBorder="1" applyAlignment="1" applyProtection="1">
      <alignment horizontal="left" vertical="center"/>
    </xf>
    <xf numFmtId="0" fontId="10" fillId="0" borderId="54" xfId="0" applyNumberFormat="1" applyFont="1" applyFill="1" applyBorder="1" applyAlignment="1" applyProtection="1">
      <alignment horizontal="left" vertical="center"/>
    </xf>
    <xf numFmtId="4" fontId="10" fillId="0" borderId="54" xfId="0" applyNumberFormat="1" applyFont="1" applyFill="1" applyBorder="1" applyAlignment="1" applyProtection="1">
      <alignment horizontal="right" vertical="center"/>
    </xf>
    <xf numFmtId="0" fontId="9" fillId="0" borderId="57" xfId="0" applyNumberFormat="1" applyFont="1" applyFill="1" applyBorder="1" applyAlignment="1" applyProtection="1">
      <alignment horizontal="left" vertical="center"/>
    </xf>
    <xf numFmtId="0" fontId="10" fillId="0" borderId="54" xfId="0" applyNumberFormat="1" applyFont="1" applyFill="1" applyBorder="1" applyAlignment="1" applyProtection="1">
      <alignment horizontal="right" vertical="center"/>
    </xf>
    <xf numFmtId="4" fontId="10" fillId="0" borderId="61" xfId="0" applyNumberFormat="1" applyFont="1" applyFill="1" applyBorder="1" applyAlignment="1" applyProtection="1">
      <alignment horizontal="right" vertical="center"/>
    </xf>
    <xf numFmtId="0" fontId="10" fillId="0" borderId="61" xfId="0" applyNumberFormat="1" applyFont="1" applyFill="1" applyBorder="1" applyAlignment="1" applyProtection="1">
      <alignment horizontal="right" vertical="center"/>
    </xf>
    <xf numFmtId="4" fontId="10" fillId="0" borderId="52" xfId="0" applyNumberFormat="1" applyFont="1" applyFill="1" applyBorder="1" applyAlignment="1" applyProtection="1">
      <alignment horizontal="right" vertical="center"/>
    </xf>
    <xf numFmtId="4" fontId="10" fillId="0" borderId="30" xfId="0" applyNumberFormat="1" applyFont="1" applyFill="1" applyBorder="1" applyAlignment="1" applyProtection="1">
      <alignment horizontal="right" vertical="center"/>
    </xf>
    <xf numFmtId="4" fontId="9" fillId="2" borderId="51" xfId="0" applyNumberFormat="1" applyFont="1" applyFill="1" applyBorder="1" applyAlignment="1" applyProtection="1">
      <alignment horizontal="right" vertical="center"/>
    </xf>
    <xf numFmtId="4" fontId="9" fillId="2" borderId="56" xfId="0" applyNumberFormat="1" applyFont="1" applyFill="1" applyBorder="1" applyAlignment="1" applyProtection="1">
      <alignment horizontal="right" vertical="center"/>
    </xf>
    <xf numFmtId="0" fontId="5" fillId="0" borderId="37" xfId="0" applyNumberFormat="1" applyFont="1" applyFill="1" applyBorder="1" applyAlignment="1" applyProtection="1">
      <alignment horizontal="left" vertical="center"/>
    </xf>
    <xf numFmtId="0" fontId="2" fillId="0" borderId="19" xfId="0" applyNumberFormat="1" applyFont="1" applyFill="1" applyBorder="1" applyAlignment="1" applyProtection="1">
      <alignment horizontal="right" vertical="center"/>
    </xf>
    <xf numFmtId="4" fontId="3" fillId="0" borderId="54" xfId="0" applyNumberFormat="1" applyFont="1" applyFill="1" applyBorder="1" applyAlignment="1" applyProtection="1">
      <alignment horizontal="right" vertical="center"/>
    </xf>
    <xf numFmtId="0" fontId="3" fillId="0" borderId="54" xfId="0" applyNumberFormat="1" applyFont="1" applyFill="1" applyBorder="1" applyAlignment="1" applyProtection="1">
      <alignment horizontal="left" vertical="center"/>
    </xf>
    <xf numFmtId="4" fontId="3" fillId="0" borderId="78" xfId="0" applyNumberFormat="1" applyFont="1" applyFill="1" applyBorder="1" applyAlignment="1" applyProtection="1">
      <alignment horizontal="right" vertical="center"/>
    </xf>
    <xf numFmtId="0" fontId="3" fillId="0" borderId="78" xfId="0" applyNumberFormat="1" applyFont="1" applyFill="1" applyBorder="1" applyAlignment="1" applyProtection="1">
      <alignment horizontal="left" vertical="center"/>
    </xf>
    <xf numFmtId="0" fontId="2" fillId="0" borderId="82" xfId="0" applyNumberFormat="1" applyFont="1" applyFill="1" applyBorder="1" applyAlignment="1" applyProtection="1">
      <alignment horizontal="left" vertical="center"/>
    </xf>
    <xf numFmtId="0" fontId="2" fillId="0" borderId="82" xfId="0" applyNumberFormat="1" applyFont="1" applyFill="1" applyBorder="1" applyAlignment="1" applyProtection="1">
      <alignment horizontal="right" vertical="center"/>
    </xf>
    <xf numFmtId="4" fontId="2" fillId="0" borderId="82" xfId="0" applyNumberFormat="1" applyFont="1" applyFill="1" applyBorder="1" applyAlignment="1" applyProtection="1">
      <alignment horizontal="right" vertical="center"/>
    </xf>
    <xf numFmtId="0" fontId="3" fillId="0" borderId="5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75" xfId="0" applyNumberFormat="1" applyFont="1" applyFill="1" applyBorder="1" applyAlignment="1" applyProtection="1">
      <alignment horizontal="left" vertical="center"/>
    </xf>
    <xf numFmtId="0" fontId="3" fillId="0" borderId="76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12" fillId="0" borderId="76" xfId="0" applyFont="1" applyBorder="1" applyAlignment="1">
      <alignment horizontal="left"/>
    </xf>
    <xf numFmtId="0" fontId="13" fillId="0" borderId="76" xfId="0" applyFont="1" applyBorder="1" applyAlignment="1">
      <alignment horizontal="left"/>
    </xf>
    <xf numFmtId="0" fontId="14" fillId="0" borderId="76" xfId="0" applyFont="1" applyBorder="1" applyAlignment="1">
      <alignment horizontal="right"/>
    </xf>
    <xf numFmtId="3" fontId="13" fillId="0" borderId="76" xfId="0" applyNumberFormat="1" applyFont="1" applyFill="1" applyBorder="1" applyAlignment="1">
      <alignment horizontal="right"/>
    </xf>
    <xf numFmtId="0" fontId="13" fillId="0" borderId="76" xfId="0" applyFont="1" applyBorder="1" applyAlignment="1">
      <alignment horizontal="center"/>
    </xf>
    <xf numFmtId="0" fontId="13" fillId="0" borderId="76" xfId="0" applyFont="1" applyBorder="1" applyAlignment="1">
      <alignment horizontal="justify"/>
    </xf>
    <xf numFmtId="0" fontId="14" fillId="0" borderId="76" xfId="0" applyFont="1" applyBorder="1" applyAlignment="1">
      <alignment horizontal="left"/>
    </xf>
    <xf numFmtId="3" fontId="15" fillId="0" borderId="84" xfId="0" applyNumberFormat="1" applyFont="1" applyFill="1" applyBorder="1" applyAlignment="1">
      <alignment horizontal="right"/>
    </xf>
    <xf numFmtId="165" fontId="16" fillId="0" borderId="76" xfId="0" applyNumberFormat="1" applyFont="1" applyBorder="1" applyAlignment="1">
      <alignment horizontal="justify"/>
    </xf>
    <xf numFmtId="164" fontId="13" fillId="0" borderId="76" xfId="0" applyNumberFormat="1" applyFont="1" applyBorder="1" applyAlignment="1">
      <alignment horizontal="right"/>
    </xf>
    <xf numFmtId="166" fontId="15" fillId="0" borderId="76" xfId="0" applyNumberFormat="1" applyFont="1" applyBorder="1" applyAlignment="1">
      <alignment horizontal="right"/>
    </xf>
    <xf numFmtId="167" fontId="16" fillId="0" borderId="76" xfId="0" applyNumberFormat="1" applyFont="1" applyBorder="1" applyAlignment="1">
      <alignment horizontal="justify"/>
    </xf>
    <xf numFmtId="168" fontId="15" fillId="0" borderId="76" xfId="0" applyNumberFormat="1" applyFont="1" applyBorder="1" applyAlignment="1">
      <alignment horizontal="right"/>
    </xf>
    <xf numFmtId="164" fontId="15" fillId="0" borderId="76" xfId="0" applyNumberFormat="1" applyFont="1" applyBorder="1" applyAlignment="1">
      <alignment horizontal="right"/>
    </xf>
    <xf numFmtId="3" fontId="14" fillId="0" borderId="84" xfId="0" applyNumberFormat="1" applyFont="1" applyFill="1" applyBorder="1" applyAlignment="1">
      <alignment horizontal="right"/>
    </xf>
    <xf numFmtId="3" fontId="14" fillId="0" borderId="76" xfId="0" applyNumberFormat="1" applyFont="1" applyFill="1" applyBorder="1" applyAlignment="1">
      <alignment horizontal="right"/>
    </xf>
    <xf numFmtId="0" fontId="17" fillId="0" borderId="76" xfId="0" applyFont="1" applyBorder="1"/>
    <xf numFmtId="0" fontId="12" fillId="0" borderId="76" xfId="0" applyFont="1" applyBorder="1" applyAlignment="1">
      <alignment horizontal="right"/>
    </xf>
    <xf numFmtId="3" fontId="12" fillId="0" borderId="76" xfId="0" applyNumberFormat="1" applyFont="1" applyFill="1" applyBorder="1" applyAlignment="1">
      <alignment horizontal="right"/>
    </xf>
    <xf numFmtId="3" fontId="13" fillId="0" borderId="76" xfId="0" applyNumberFormat="1" applyFont="1" applyBorder="1" applyAlignment="1">
      <alignment horizontal="left"/>
    </xf>
    <xf numFmtId="10" fontId="13" fillId="0" borderId="76" xfId="0" applyNumberFormat="1" applyFont="1" applyBorder="1" applyAlignment="1">
      <alignment horizontal="right"/>
    </xf>
    <xf numFmtId="0" fontId="13" fillId="0" borderId="76" xfId="0" applyFont="1" applyBorder="1" applyAlignment="1">
      <alignment horizontal="right"/>
    </xf>
    <xf numFmtId="3" fontId="17" fillId="0" borderId="76" xfId="0" applyNumberFormat="1" applyFont="1" applyFill="1" applyBorder="1"/>
    <xf numFmtId="0" fontId="14" fillId="0" borderId="76" xfId="0" applyFont="1" applyBorder="1" applyAlignment="1">
      <alignment horizontal="center"/>
    </xf>
    <xf numFmtId="0" fontId="14" fillId="0" borderId="76" xfId="0" applyFont="1" applyBorder="1" applyAlignment="1">
      <alignment horizontal="justify"/>
    </xf>
    <xf numFmtId="0" fontId="0" fillId="0" borderId="76" xfId="0" applyBorder="1"/>
    <xf numFmtId="169" fontId="13" fillId="0" borderId="76" xfId="0" applyNumberFormat="1" applyFont="1" applyBorder="1" applyAlignment="1">
      <alignment horizontal="center" vertical="center"/>
    </xf>
    <xf numFmtId="10" fontId="13" fillId="0" borderId="76" xfId="0" applyNumberFormat="1" applyFont="1" applyBorder="1" applyAlignment="1">
      <alignment horizontal="center" vertical="center"/>
    </xf>
    <xf numFmtId="3" fontId="13" fillId="0" borderId="76" xfId="0" applyNumberFormat="1" applyFont="1" applyBorder="1" applyAlignment="1">
      <alignment horizontal="center"/>
    </xf>
    <xf numFmtId="0" fontId="18" fillId="0" borderId="76" xfId="0" applyFont="1" applyBorder="1"/>
    <xf numFmtId="1" fontId="14" fillId="0" borderId="76" xfId="0" applyNumberFormat="1" applyFont="1" applyFill="1" applyBorder="1" applyAlignment="1">
      <alignment horizontal="right"/>
    </xf>
    <xf numFmtId="0" fontId="14" fillId="0" borderId="85" xfId="0" applyFont="1" applyBorder="1" applyAlignment="1">
      <alignment horizontal="left"/>
    </xf>
    <xf numFmtId="0" fontId="13" fillId="0" borderId="85" xfId="0" applyFont="1" applyBorder="1" applyAlignment="1">
      <alignment horizontal="left"/>
    </xf>
    <xf numFmtId="0" fontId="0" fillId="0" borderId="85" xfId="0" applyBorder="1"/>
    <xf numFmtId="0" fontId="14" fillId="0" borderId="85" xfId="0" applyFont="1" applyFill="1" applyBorder="1" applyAlignment="1">
      <alignment horizontal="right"/>
    </xf>
    <xf numFmtId="0" fontId="14" fillId="0" borderId="76" xfId="0" applyFont="1" applyFill="1" applyBorder="1" applyAlignment="1">
      <alignment horizontal="right"/>
    </xf>
    <xf numFmtId="0" fontId="20" fillId="0" borderId="0" xfId="0" applyNumberFormat="1" applyFont="1" applyFill="1" applyBorder="1" applyAlignment="1" applyProtection="1">
      <alignment horizontal="left" vertical="center"/>
    </xf>
    <xf numFmtId="0" fontId="3" fillId="0" borderId="76" xfId="0" applyNumberFormat="1" applyFont="1" applyFill="1" applyBorder="1" applyAlignment="1" applyProtection="1">
      <alignment horizontal="left" vertical="center" wrapText="1"/>
    </xf>
    <xf numFmtId="4" fontId="3" fillId="0" borderId="76" xfId="0" applyNumberFormat="1" applyFont="1" applyFill="1" applyBorder="1" applyAlignment="1" applyProtection="1">
      <alignment horizontal="right" vertical="center"/>
    </xf>
    <xf numFmtId="1" fontId="3" fillId="0" borderId="76" xfId="0" applyNumberFormat="1" applyFont="1" applyFill="1" applyBorder="1" applyAlignment="1" applyProtection="1">
      <alignment horizontal="right" vertical="center"/>
    </xf>
    <xf numFmtId="0" fontId="3" fillId="0" borderId="78" xfId="0" applyNumberFormat="1" applyFont="1" applyFill="1" applyBorder="1" applyAlignment="1" applyProtection="1">
      <alignment horizontal="right" vertical="center"/>
    </xf>
    <xf numFmtId="0" fontId="2" fillId="2" borderId="76" xfId="0" applyNumberFormat="1" applyFont="1" applyFill="1" applyBorder="1" applyAlignment="1" applyProtection="1">
      <alignment horizontal="right" vertical="center"/>
    </xf>
    <xf numFmtId="0" fontId="3" fillId="0" borderId="76" xfId="0" applyNumberFormat="1" applyFont="1" applyFill="1" applyBorder="1" applyAlignment="1" applyProtection="1">
      <alignment horizontal="right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0" fillId="0" borderId="75" xfId="0" applyNumberFormat="1" applyFont="1" applyFill="1" applyBorder="1" applyAlignment="1" applyProtection="1"/>
    <xf numFmtId="0" fontId="0" fillId="0" borderId="78" xfId="0" applyNumberFormat="1" applyFont="1" applyFill="1" applyBorder="1" applyAlignment="1" applyProtection="1"/>
    <xf numFmtId="0" fontId="22" fillId="0" borderId="75" xfId="0" applyNumberFormat="1" applyFont="1" applyFill="1" applyBorder="1" applyAlignment="1" applyProtection="1">
      <alignment horizontal="left" vertical="center"/>
    </xf>
    <xf numFmtId="0" fontId="22" fillId="0" borderId="76" xfId="0" applyNumberFormat="1" applyFont="1" applyFill="1" applyBorder="1" applyAlignment="1" applyProtection="1">
      <alignment horizontal="left" vertical="center"/>
    </xf>
    <xf numFmtId="4" fontId="22" fillId="0" borderId="76" xfId="0" applyNumberFormat="1" applyFont="1" applyFill="1" applyBorder="1" applyAlignment="1" applyProtection="1">
      <alignment horizontal="right" vertical="center"/>
    </xf>
    <xf numFmtId="0" fontId="22" fillId="0" borderId="76" xfId="0" applyNumberFormat="1" applyFont="1" applyFill="1" applyBorder="1" applyAlignment="1" applyProtection="1">
      <alignment horizontal="right" vertical="center"/>
    </xf>
    <xf numFmtId="0" fontId="22" fillId="0" borderId="78" xfId="0" applyNumberFormat="1" applyFont="1" applyFill="1" applyBorder="1" applyAlignment="1" applyProtection="1">
      <alignment horizontal="right" vertical="center"/>
    </xf>
    <xf numFmtId="0" fontId="0" fillId="0" borderId="76" xfId="0" applyFont="1" applyBorder="1"/>
    <xf numFmtId="0" fontId="23" fillId="2" borderId="76" xfId="0" applyNumberFormat="1" applyFont="1" applyFill="1" applyBorder="1" applyAlignment="1" applyProtection="1">
      <alignment horizontal="right" vertical="center"/>
    </xf>
    <xf numFmtId="0" fontId="22" fillId="0" borderId="76" xfId="0" applyNumberFormat="1" applyFont="1" applyFill="1" applyBorder="1" applyAlignment="1" applyProtection="1">
      <alignment horizontal="left" vertical="center" wrapText="1"/>
    </xf>
    <xf numFmtId="0" fontId="24" fillId="0" borderId="76" xfId="0" applyNumberFormat="1" applyFont="1" applyFill="1" applyBorder="1" applyAlignment="1" applyProtection="1">
      <alignment horizontal="left" vertical="center"/>
    </xf>
    <xf numFmtId="0" fontId="0" fillId="0" borderId="76" xfId="0" applyFont="1" applyFill="1" applyBorder="1"/>
    <xf numFmtId="4" fontId="24" fillId="0" borderId="76" xfId="0" applyNumberFormat="1" applyFont="1" applyFill="1" applyBorder="1" applyAlignment="1" applyProtection="1">
      <alignment horizontal="right" vertical="center"/>
    </xf>
    <xf numFmtId="0" fontId="19" fillId="0" borderId="0" xfId="0" applyFont="1"/>
    <xf numFmtId="0" fontId="0" fillId="0" borderId="0" xfId="0" applyFill="1"/>
    <xf numFmtId="0" fontId="22" fillId="0" borderId="0" xfId="0" applyNumberFormat="1" applyFont="1" applyFill="1" applyBorder="1" applyAlignment="1" applyProtection="1">
      <alignment horizontal="left" vertical="center"/>
    </xf>
    <xf numFmtId="4" fontId="22" fillId="0" borderId="0" xfId="0" applyNumberFormat="1" applyFont="1" applyFill="1" applyBorder="1" applyAlignment="1" applyProtection="1">
      <alignment horizontal="right" vertical="center"/>
    </xf>
    <xf numFmtId="0" fontId="24" fillId="0" borderId="0" xfId="0" applyNumberFormat="1" applyFont="1" applyFill="1" applyBorder="1" applyAlignment="1" applyProtection="1">
      <alignment horizontal="left" vertical="center"/>
    </xf>
    <xf numFmtId="0" fontId="19" fillId="0" borderId="0" xfId="0" applyFont="1" applyFill="1"/>
    <xf numFmtId="4" fontId="24" fillId="0" borderId="0" xfId="0" applyNumberFormat="1" applyFont="1" applyFill="1" applyBorder="1" applyAlignment="1" applyProtection="1">
      <alignment horizontal="right" vertical="center"/>
    </xf>
    <xf numFmtId="4" fontId="0" fillId="0" borderId="0" xfId="0" applyNumberFormat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3" fillId="0" borderId="86" xfId="0" applyNumberFormat="1" applyFont="1" applyFill="1" applyBorder="1" applyAlignment="1" applyProtection="1">
      <alignment horizontal="left" vertical="center" wrapText="1"/>
    </xf>
    <xf numFmtId="0" fontId="3" fillId="0" borderId="87" xfId="0" applyNumberFormat="1" applyFont="1" applyFill="1" applyBorder="1" applyAlignment="1" applyProtection="1">
      <alignment horizontal="left" vertical="center"/>
    </xf>
    <xf numFmtId="0" fontId="3" fillId="0" borderId="89" xfId="0" applyNumberFormat="1" applyFont="1" applyFill="1" applyBorder="1" applyAlignment="1" applyProtection="1">
      <alignment horizontal="left" vertical="center"/>
    </xf>
    <xf numFmtId="0" fontId="3" fillId="0" borderId="76" xfId="0" applyNumberFormat="1" applyFont="1" applyFill="1" applyBorder="1" applyAlignment="1" applyProtection="1">
      <alignment horizontal="left" vertical="center"/>
    </xf>
    <xf numFmtId="0" fontId="3" fillId="0" borderId="89" xfId="0" applyNumberFormat="1" applyFont="1" applyFill="1" applyBorder="1" applyAlignment="1" applyProtection="1">
      <alignment horizontal="left" vertical="center" wrapText="1"/>
    </xf>
    <xf numFmtId="0" fontId="3" fillId="0" borderId="87" xfId="0" applyNumberFormat="1" applyFont="1" applyFill="1" applyBorder="1" applyAlignment="1" applyProtection="1">
      <alignment horizontal="left" vertical="center" wrapText="1"/>
    </xf>
    <xf numFmtId="0" fontId="3" fillId="0" borderId="76" xfId="0" applyNumberFormat="1" applyFont="1" applyFill="1" applyBorder="1" applyAlignment="1" applyProtection="1">
      <alignment horizontal="left" vertical="center" wrapText="1"/>
    </xf>
    <xf numFmtId="0" fontId="3" fillId="0" borderId="88" xfId="0" applyNumberFormat="1" applyFont="1" applyFill="1" applyBorder="1" applyAlignment="1" applyProtection="1">
      <alignment horizontal="left" vertical="center"/>
    </xf>
    <xf numFmtId="0" fontId="3" fillId="0" borderId="90" xfId="0" applyNumberFormat="1" applyFont="1" applyFill="1" applyBorder="1" applyAlignment="1" applyProtection="1">
      <alignment horizontal="left" vertical="center"/>
    </xf>
    <xf numFmtId="1" fontId="3" fillId="0" borderId="90" xfId="0" applyNumberFormat="1" applyFont="1" applyFill="1" applyBorder="1" applyAlignment="1" applyProtection="1">
      <alignment horizontal="left" vertical="center"/>
    </xf>
    <xf numFmtId="14" fontId="3" fillId="0" borderId="76" xfId="0" applyNumberFormat="1" applyFont="1" applyFill="1" applyBorder="1" applyAlignment="1" applyProtection="1">
      <alignment horizontal="left" vertical="center"/>
    </xf>
    <xf numFmtId="0" fontId="2" fillId="0" borderId="87" xfId="0" applyNumberFormat="1" applyFont="1" applyFill="1" applyBorder="1" applyAlignment="1" applyProtection="1">
      <alignment horizontal="left" vertical="center" wrapText="1"/>
    </xf>
    <xf numFmtId="0" fontId="2" fillId="0" borderId="87" xfId="0" applyNumberFormat="1" applyFont="1" applyFill="1" applyBorder="1" applyAlignment="1" applyProtection="1">
      <alignment horizontal="left" vertical="center"/>
    </xf>
    <xf numFmtId="0" fontId="2" fillId="0" borderId="76" xfId="0" applyNumberFormat="1" applyFont="1" applyFill="1" applyBorder="1" applyAlignment="1" applyProtection="1">
      <alignment horizontal="left" vertical="center"/>
    </xf>
    <xf numFmtId="0" fontId="3" fillId="0" borderId="92" xfId="0" applyNumberFormat="1" applyFont="1" applyFill="1" applyBorder="1" applyAlignment="1" applyProtection="1">
      <alignment horizontal="left" vertical="center"/>
    </xf>
    <xf numFmtId="14" fontId="3" fillId="0" borderId="90" xfId="0" applyNumberFormat="1" applyFont="1" applyFill="1" applyBorder="1" applyAlignment="1" applyProtection="1">
      <alignment horizontal="left" vertical="center"/>
    </xf>
    <xf numFmtId="0" fontId="3" fillId="0" borderId="93" xfId="0" applyNumberFormat="1" applyFont="1" applyFill="1" applyBorder="1" applyAlignment="1" applyProtection="1">
      <alignment horizontal="left" vertical="center"/>
    </xf>
    <xf numFmtId="0" fontId="6" fillId="0" borderId="48" xfId="0" applyNumberFormat="1" applyFont="1" applyFill="1" applyBorder="1" applyAlignment="1" applyProtection="1">
      <alignment horizontal="center" vertical="center"/>
    </xf>
    <xf numFmtId="0" fontId="8" fillId="0" borderId="50" xfId="0" applyNumberFormat="1" applyFont="1" applyFill="1" applyBorder="1" applyAlignment="1" applyProtection="1">
      <alignment horizontal="left" vertical="center"/>
    </xf>
    <xf numFmtId="0" fontId="8" fillId="0" borderId="51" xfId="0" applyNumberFormat="1" applyFont="1" applyFill="1" applyBorder="1" applyAlignment="1" applyProtection="1">
      <alignment horizontal="left" vertical="center"/>
    </xf>
    <xf numFmtId="0" fontId="3" fillId="0" borderId="91" xfId="0" applyNumberFormat="1" applyFont="1" applyFill="1" applyBorder="1" applyAlignment="1" applyProtection="1">
      <alignment horizontal="left" vertical="center"/>
    </xf>
    <xf numFmtId="0" fontId="9" fillId="0" borderId="58" xfId="0" applyNumberFormat="1" applyFont="1" applyFill="1" applyBorder="1" applyAlignment="1" applyProtection="1">
      <alignment horizontal="left" vertical="center"/>
    </xf>
    <xf numFmtId="0" fontId="9" fillId="0" borderId="56" xfId="0" applyNumberFormat="1" applyFont="1" applyFill="1" applyBorder="1" applyAlignment="1" applyProtection="1">
      <alignment horizontal="left" vertical="center"/>
    </xf>
    <xf numFmtId="0" fontId="9" fillId="0" borderId="59" xfId="0" applyNumberFormat="1" applyFont="1" applyFill="1" applyBorder="1" applyAlignment="1" applyProtection="1">
      <alignment horizontal="left" vertical="center"/>
    </xf>
    <xf numFmtId="0" fontId="9" fillId="0" borderId="60" xfId="0" applyNumberFormat="1" applyFont="1" applyFill="1" applyBorder="1" applyAlignment="1" applyProtection="1">
      <alignment horizontal="left" vertical="center"/>
    </xf>
    <xf numFmtId="0" fontId="9" fillId="0" borderId="63" xfId="0" applyNumberFormat="1" applyFont="1" applyFill="1" applyBorder="1" applyAlignment="1" applyProtection="1">
      <alignment horizontal="left" vertical="center"/>
    </xf>
    <xf numFmtId="0" fontId="9" fillId="0" borderId="51" xfId="0" applyNumberFormat="1" applyFont="1" applyFill="1" applyBorder="1" applyAlignment="1" applyProtection="1">
      <alignment horizontal="left" vertical="center"/>
    </xf>
    <xf numFmtId="0" fontId="10" fillId="0" borderId="55" xfId="0" applyNumberFormat="1" applyFont="1" applyFill="1" applyBorder="1" applyAlignment="1" applyProtection="1">
      <alignment horizontal="left" vertical="center"/>
    </xf>
    <xf numFmtId="0" fontId="10" fillId="0" borderId="56" xfId="0" applyNumberFormat="1" applyFont="1" applyFill="1" applyBorder="1" applyAlignment="1" applyProtection="1">
      <alignment horizontal="left" vertical="center"/>
    </xf>
    <xf numFmtId="0" fontId="21" fillId="0" borderId="55" xfId="0" applyNumberFormat="1" applyFont="1" applyFill="1" applyBorder="1" applyAlignment="1" applyProtection="1">
      <alignment horizontal="left" vertical="center"/>
    </xf>
    <xf numFmtId="0" fontId="10" fillId="0" borderId="62" xfId="0" applyNumberFormat="1" applyFont="1" applyFill="1" applyBorder="1" applyAlignment="1" applyProtection="1">
      <alignment horizontal="left" vertical="center"/>
    </xf>
    <xf numFmtId="0" fontId="10" fillId="0" borderId="60" xfId="0" applyNumberFormat="1" applyFont="1" applyFill="1" applyBorder="1" applyAlignment="1" applyProtection="1">
      <alignment horizontal="left" vertical="center"/>
    </xf>
    <xf numFmtId="0" fontId="9" fillId="0" borderId="50" xfId="0" applyNumberFormat="1" applyFont="1" applyFill="1" applyBorder="1" applyAlignment="1" applyProtection="1">
      <alignment horizontal="left" vertical="center"/>
    </xf>
    <xf numFmtId="0" fontId="9" fillId="0" borderId="55" xfId="0" applyNumberFormat="1" applyFont="1" applyFill="1" applyBorder="1" applyAlignment="1" applyProtection="1">
      <alignment horizontal="left" vertical="center"/>
    </xf>
    <xf numFmtId="0" fontId="9" fillId="2" borderId="63" xfId="0" applyNumberFormat="1" applyFont="1" applyFill="1" applyBorder="1" applyAlignment="1" applyProtection="1">
      <alignment horizontal="left" vertical="center"/>
    </xf>
    <xf numFmtId="0" fontId="9" fillId="2" borderId="64" xfId="0" applyNumberFormat="1" applyFont="1" applyFill="1" applyBorder="1" applyAlignment="1" applyProtection="1">
      <alignment horizontal="left" vertical="center"/>
    </xf>
    <xf numFmtId="0" fontId="9" fillId="2" borderId="58" xfId="0" applyNumberFormat="1" applyFont="1" applyFill="1" applyBorder="1" applyAlignment="1" applyProtection="1">
      <alignment horizontal="left" vertical="center"/>
    </xf>
    <xf numFmtId="0" fontId="9" fillId="2" borderId="65" xfId="0" applyNumberFormat="1" applyFont="1" applyFill="1" applyBorder="1" applyAlignment="1" applyProtection="1">
      <alignment horizontal="left" vertical="center"/>
    </xf>
    <xf numFmtId="0" fontId="9" fillId="2" borderId="50" xfId="0" applyNumberFormat="1" applyFont="1" applyFill="1" applyBorder="1" applyAlignment="1" applyProtection="1">
      <alignment horizontal="left" vertical="center"/>
    </xf>
    <xf numFmtId="0" fontId="9" fillId="2" borderId="55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/>
    </xf>
    <xf numFmtId="0" fontId="10" fillId="0" borderId="68" xfId="0" applyNumberFormat="1" applyFont="1" applyFill="1" applyBorder="1" applyAlignment="1" applyProtection="1">
      <alignment horizontal="left" vertical="center"/>
    </xf>
    <xf numFmtId="0" fontId="10" fillId="0" borderId="43" xfId="0" applyNumberFormat="1" applyFont="1" applyFill="1" applyBorder="1" applyAlignment="1" applyProtection="1">
      <alignment horizontal="left" vertical="center"/>
    </xf>
    <xf numFmtId="0" fontId="10" fillId="0" borderId="67" xfId="0" applyNumberFormat="1" applyFont="1" applyFill="1" applyBorder="1" applyAlignment="1" applyProtection="1">
      <alignment horizontal="left" vertical="center"/>
    </xf>
    <xf numFmtId="0" fontId="10" fillId="0" borderId="71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70" xfId="0" applyNumberFormat="1" applyFont="1" applyFill="1" applyBorder="1" applyAlignment="1" applyProtection="1">
      <alignment horizontal="left" vertical="center"/>
    </xf>
    <xf numFmtId="0" fontId="10" fillId="0" borderId="74" xfId="0" applyNumberFormat="1" applyFont="1" applyFill="1" applyBorder="1" applyAlignment="1" applyProtection="1">
      <alignment horizontal="left" vertical="center"/>
    </xf>
    <xf numFmtId="0" fontId="10" fillId="0" borderId="45" xfId="0" applyNumberFormat="1" applyFont="1" applyFill="1" applyBorder="1" applyAlignment="1" applyProtection="1">
      <alignment horizontal="left" vertical="center"/>
    </xf>
    <xf numFmtId="0" fontId="10" fillId="0" borderId="73" xfId="0" applyNumberFormat="1" applyFont="1" applyFill="1" applyBorder="1" applyAlignment="1" applyProtection="1">
      <alignment horizontal="left" vertical="center"/>
    </xf>
    <xf numFmtId="0" fontId="10" fillId="0" borderId="66" xfId="0" applyNumberFormat="1" applyFont="1" applyFill="1" applyBorder="1" applyAlignment="1" applyProtection="1">
      <alignment horizontal="left" vertical="center"/>
    </xf>
    <xf numFmtId="0" fontId="10" fillId="0" borderId="69" xfId="0" applyNumberFormat="1" applyFont="1" applyFill="1" applyBorder="1" applyAlignment="1" applyProtection="1">
      <alignment horizontal="left" vertical="center"/>
    </xf>
    <xf numFmtId="0" fontId="10" fillId="0" borderId="72" xfId="0" applyNumberFormat="1" applyFont="1" applyFill="1" applyBorder="1" applyAlignment="1" applyProtection="1">
      <alignment horizontal="left" vertical="center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left" vertical="center"/>
    </xf>
    <xf numFmtId="0" fontId="3" fillId="0" borderId="5" xfId="0" applyNumberFormat="1" applyFont="1" applyFill="1" applyBorder="1" applyAlignment="1" applyProtection="1">
      <alignment horizontal="left" vertical="center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3" fillId="0" borderId="7" xfId="0" applyNumberFormat="1" applyFont="1" applyFill="1" applyBorder="1" applyAlignment="1" applyProtection="1">
      <alignment horizontal="left" vertical="center"/>
    </xf>
    <xf numFmtId="0" fontId="3" fillId="0" borderId="8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left" vertical="center"/>
    </xf>
    <xf numFmtId="0" fontId="3" fillId="0" borderId="6" xfId="0" applyNumberFormat="1" applyFont="1" applyFill="1" applyBorder="1" applyAlignment="1" applyProtection="1">
      <alignment horizontal="left" vertical="center"/>
    </xf>
    <xf numFmtId="0" fontId="3" fillId="0" borderId="9" xfId="0" applyNumberFormat="1" applyFont="1" applyFill="1" applyBorder="1" applyAlignment="1" applyProtection="1">
      <alignment horizontal="left" vertical="center"/>
    </xf>
    <xf numFmtId="0" fontId="3" fillId="0" borderId="12" xfId="0" applyNumberFormat="1" applyFont="1" applyFill="1" applyBorder="1" applyAlignment="1" applyProtection="1">
      <alignment horizontal="left" vertical="center"/>
    </xf>
    <xf numFmtId="0" fontId="3" fillId="0" borderId="43" xfId="0" applyNumberFormat="1" applyFont="1" applyFill="1" applyBorder="1" applyAlignment="1" applyProtection="1">
      <alignment horizontal="left" vertical="center"/>
    </xf>
    <xf numFmtId="0" fontId="3" fillId="0" borderId="44" xfId="0" applyNumberFormat="1" applyFont="1" applyFill="1" applyBorder="1" applyAlignment="1" applyProtection="1">
      <alignment horizontal="left" vertical="center"/>
    </xf>
    <xf numFmtId="0" fontId="2" fillId="0" borderId="25" xfId="0" applyNumberFormat="1" applyFont="1" applyFill="1" applyBorder="1" applyAlignment="1" applyProtection="1">
      <alignment horizontal="left" vertical="center"/>
    </xf>
    <xf numFmtId="0" fontId="2" fillId="0" borderId="45" xfId="0" applyNumberFormat="1" applyFont="1" applyFill="1" applyBorder="1" applyAlignment="1" applyProtection="1">
      <alignment horizontal="left" vertical="center"/>
    </xf>
    <xf numFmtId="0" fontId="2" fillId="0" borderId="46" xfId="0" applyNumberFormat="1" applyFont="1" applyFill="1" applyBorder="1" applyAlignment="1" applyProtection="1">
      <alignment horizontal="left" vertical="center"/>
    </xf>
    <xf numFmtId="0" fontId="2" fillId="0" borderId="16" xfId="0" applyNumberFormat="1" applyFont="1" applyFill="1" applyBorder="1" applyAlignment="1" applyProtection="1">
      <alignment horizontal="center" vertical="center"/>
    </xf>
    <xf numFmtId="0" fontId="2" fillId="0" borderId="17" xfId="0" applyNumberFormat="1" applyFont="1" applyFill="1" applyBorder="1" applyAlignment="1" applyProtection="1">
      <alignment horizontal="center" vertical="center"/>
    </xf>
    <xf numFmtId="0" fontId="2" fillId="0" borderId="18" xfId="0" applyNumberFormat="1" applyFont="1" applyFill="1" applyBorder="1" applyAlignment="1" applyProtection="1">
      <alignment horizontal="center" vertical="center"/>
    </xf>
    <xf numFmtId="0" fontId="3" fillId="0" borderId="37" xfId="0" applyNumberFormat="1" applyFont="1" applyFill="1" applyBorder="1" applyAlignment="1" applyProtection="1">
      <alignment horizontal="left" vertical="center"/>
    </xf>
    <xf numFmtId="0" fontId="3" fillId="0" borderId="40" xfId="0" applyNumberFormat="1" applyFont="1" applyFill="1" applyBorder="1" applyAlignment="1" applyProtection="1">
      <alignment horizontal="left" vertical="center"/>
    </xf>
    <xf numFmtId="0" fontId="2" fillId="0" borderId="42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22" fillId="0" borderId="0" xfId="0" applyNumberFormat="1" applyFont="1" applyFill="1" applyBorder="1" applyAlignment="1" applyProtection="1">
      <alignment horizontal="left" vertical="center" wrapText="1"/>
    </xf>
    <xf numFmtId="0" fontId="22" fillId="0" borderId="0" xfId="0" applyNumberFormat="1" applyFont="1" applyFill="1" applyBorder="1" applyAlignment="1" applyProtection="1">
      <alignment horizontal="left" vertical="center"/>
    </xf>
    <xf numFmtId="0" fontId="22" fillId="0" borderId="76" xfId="0" applyNumberFormat="1" applyFont="1" applyFill="1" applyBorder="1" applyAlignment="1" applyProtection="1">
      <alignment horizontal="left" vertical="center" wrapText="1"/>
    </xf>
    <xf numFmtId="0" fontId="22" fillId="0" borderId="76" xfId="0" applyNumberFormat="1" applyFont="1" applyFill="1" applyBorder="1" applyAlignment="1" applyProtection="1">
      <alignment horizontal="left" vertical="center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2" fillId="0" borderId="13" xfId="0" applyNumberFormat="1" applyFont="1" applyFill="1" applyBorder="1" applyAlignment="1" applyProtection="1">
      <alignment horizontal="left" vertical="center"/>
    </xf>
    <xf numFmtId="14" fontId="3" fillId="0" borderId="0" xfId="0" applyNumberFormat="1" applyFont="1" applyFill="1" applyBorder="1" applyAlignment="1" applyProtection="1">
      <alignment horizontal="left" vertical="center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left" vertical="center"/>
    </xf>
    <xf numFmtId="0" fontId="2" fillId="0" borderId="26" xfId="0" applyNumberFormat="1" applyFont="1" applyFill="1" applyBorder="1" applyAlignment="1" applyProtection="1">
      <alignment horizontal="left" vertical="center"/>
    </xf>
    <xf numFmtId="0" fontId="2" fillId="0" borderId="20" xfId="0" applyNumberFormat="1" applyFont="1" applyFill="1" applyBorder="1" applyAlignment="1" applyProtection="1">
      <alignment horizontal="center" vertical="center"/>
    </xf>
    <xf numFmtId="0" fontId="2" fillId="0" borderId="21" xfId="0" applyNumberFormat="1" applyFont="1" applyFill="1" applyBorder="1" applyAlignment="1" applyProtection="1">
      <alignment horizontal="center" vertical="center"/>
    </xf>
    <xf numFmtId="0" fontId="2" fillId="2" borderId="37" xfId="0" applyNumberFormat="1" applyFont="1" applyFill="1" applyBorder="1" applyAlignment="1" applyProtection="1">
      <alignment horizontal="left" vertical="center" wrapText="1"/>
    </xf>
    <xf numFmtId="0" fontId="2" fillId="2" borderId="37" xfId="0" applyNumberFormat="1" applyFont="1" applyFill="1" applyBorder="1" applyAlignment="1" applyProtection="1">
      <alignment horizontal="left" vertical="center"/>
    </xf>
    <xf numFmtId="0" fontId="9" fillId="0" borderId="8" xfId="0" applyNumberFormat="1" applyFont="1" applyFill="1" applyBorder="1" applyAlignment="1" applyProtection="1">
      <alignment horizontal="left" vertical="center"/>
    </xf>
    <xf numFmtId="0" fontId="2" fillId="0" borderId="16" xfId="0" applyNumberFormat="1" applyFont="1" applyFill="1" applyBorder="1" applyAlignment="1" applyProtection="1">
      <alignment horizontal="left" vertical="center"/>
    </xf>
    <xf numFmtId="0" fontId="2" fillId="0" borderId="17" xfId="0" applyNumberFormat="1" applyFont="1" applyFill="1" applyBorder="1" applyAlignment="1" applyProtection="1">
      <alignment horizontal="left" vertical="center"/>
    </xf>
    <xf numFmtId="0" fontId="2" fillId="0" borderId="18" xfId="0" applyNumberFormat="1" applyFont="1" applyFill="1" applyBorder="1" applyAlignment="1" applyProtection="1">
      <alignment horizontal="left" vertical="center"/>
    </xf>
    <xf numFmtId="0" fontId="3" fillId="0" borderId="58" xfId="0" applyNumberFormat="1" applyFont="1" applyFill="1" applyBorder="1" applyAlignment="1" applyProtection="1">
      <alignment horizontal="left" vertical="center"/>
    </xf>
    <xf numFmtId="0" fontId="3" fillId="0" borderId="65" xfId="0" applyNumberFormat="1" applyFont="1" applyFill="1" applyBorder="1" applyAlignment="1" applyProtection="1">
      <alignment horizontal="left" vertical="center"/>
    </xf>
    <xf numFmtId="0" fontId="3" fillId="0" borderId="56" xfId="0" applyNumberFormat="1" applyFont="1" applyFill="1" applyBorder="1" applyAlignment="1" applyProtection="1">
      <alignment horizontal="left" vertical="center"/>
    </xf>
    <xf numFmtId="0" fontId="3" fillId="0" borderId="75" xfId="0" applyNumberFormat="1" applyFont="1" applyFill="1" applyBorder="1" applyAlignment="1" applyProtection="1">
      <alignment horizontal="left" vertical="center"/>
    </xf>
    <xf numFmtId="0" fontId="3" fillId="0" borderId="77" xfId="0" applyNumberFormat="1" applyFont="1" applyFill="1" applyBorder="1" applyAlignment="1" applyProtection="1">
      <alignment horizontal="left" vertical="center"/>
    </xf>
    <xf numFmtId="0" fontId="2" fillId="0" borderId="79" xfId="0" applyNumberFormat="1" applyFont="1" applyFill="1" applyBorder="1" applyAlignment="1" applyProtection="1">
      <alignment horizontal="left" vertical="center"/>
    </xf>
    <xf numFmtId="0" fontId="2" fillId="0" borderId="80" xfId="0" applyNumberFormat="1" applyFont="1" applyFill="1" applyBorder="1" applyAlignment="1" applyProtection="1">
      <alignment horizontal="left" vertical="center"/>
    </xf>
    <xf numFmtId="0" fontId="2" fillId="0" borderId="81" xfId="0" applyNumberFormat="1" applyFont="1" applyFill="1" applyBorder="1" applyAlignment="1" applyProtection="1">
      <alignment horizontal="left" vertical="center"/>
    </xf>
    <xf numFmtId="0" fontId="9" fillId="0" borderId="79" xfId="0" applyNumberFormat="1" applyFont="1" applyFill="1" applyBorder="1" applyAlignment="1" applyProtection="1">
      <alignment horizontal="left" vertical="center"/>
    </xf>
    <xf numFmtId="0" fontId="9" fillId="0" borderId="80" xfId="0" applyNumberFormat="1" applyFont="1" applyFill="1" applyBorder="1" applyAlignment="1" applyProtection="1">
      <alignment horizontal="left" vertical="center"/>
    </xf>
    <xf numFmtId="0" fontId="9" fillId="0" borderId="81" xfId="0" applyNumberFormat="1" applyFont="1" applyFill="1" applyBorder="1" applyAlignment="1" applyProtection="1">
      <alignment horizontal="left" vertical="center"/>
    </xf>
    <xf numFmtId="4" fontId="9" fillId="0" borderId="83" xfId="0" applyNumberFormat="1" applyFont="1" applyFill="1" applyBorder="1" applyAlignment="1" applyProtection="1">
      <alignment horizontal="right" vertical="center"/>
    </xf>
    <xf numFmtId="0" fontId="9" fillId="0" borderId="80" xfId="0" applyNumberFormat="1" applyFont="1" applyFill="1" applyBorder="1" applyAlignment="1" applyProtection="1">
      <alignment horizontal="right" vertical="center"/>
    </xf>
    <xf numFmtId="0" fontId="9" fillId="0" borderId="81" xfId="0" applyNumberFormat="1" applyFont="1" applyFill="1" applyBorder="1" applyAlignment="1" applyProtection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8"/>
  <sheetViews>
    <sheetView tabSelected="1" topLeftCell="A40" workbookViewId="0">
      <selection activeCell="A52" sqref="A52"/>
    </sheetView>
  </sheetViews>
  <sheetFormatPr defaultRowHeight="15.75"/>
  <cols>
    <col min="1" max="1" width="13.5703125" style="98" customWidth="1"/>
    <col min="2" max="2" width="61.42578125" style="93" customWidth="1"/>
    <col min="3" max="3" width="21.7109375" style="93" bestFit="1" customWidth="1"/>
    <col min="4" max="4" width="17.42578125" style="94" customWidth="1"/>
    <col min="5" max="5" width="17.7109375" style="95" customWidth="1"/>
    <col min="6" max="6" width="9.140625" style="96"/>
    <col min="7" max="7" width="17.42578125" style="97" bestFit="1" customWidth="1"/>
  </cols>
  <sheetData>
    <row r="1" spans="1:7">
      <c r="A1" s="92" t="s">
        <v>387</v>
      </c>
    </row>
    <row r="2" spans="1:7">
      <c r="A2" s="92" t="s">
        <v>432</v>
      </c>
    </row>
    <row r="3" spans="1:7">
      <c r="A3" s="92" t="s">
        <v>431</v>
      </c>
    </row>
    <row r="4" spans="1:7">
      <c r="A4" s="92"/>
    </row>
    <row r="7" spans="1:7">
      <c r="A7" s="92" t="s">
        <v>388</v>
      </c>
    </row>
    <row r="9" spans="1:7">
      <c r="B9" s="93" t="s">
        <v>433</v>
      </c>
      <c r="D9" s="105">
        <v>198</v>
      </c>
      <c r="G9" s="100"/>
    </row>
    <row r="10" spans="1:7">
      <c r="B10" s="93" t="s">
        <v>389</v>
      </c>
    </row>
    <row r="11" spans="1:7">
      <c r="B11" s="93" t="s">
        <v>434</v>
      </c>
      <c r="C11" s="101" t="s">
        <v>435</v>
      </c>
      <c r="D11" s="102">
        <v>58</v>
      </c>
      <c r="G11" s="103"/>
    </row>
    <row r="12" spans="1:7">
      <c r="B12" s="93" t="s">
        <v>390</v>
      </c>
      <c r="C12" s="113"/>
      <c r="D12" s="104">
        <v>300</v>
      </c>
      <c r="G12" s="104"/>
    </row>
    <row r="13" spans="1:7">
      <c r="B13" s="93" t="s">
        <v>478</v>
      </c>
      <c r="C13" s="101"/>
      <c r="D13" s="102">
        <v>15</v>
      </c>
      <c r="G13" s="100"/>
    </row>
    <row r="14" spans="1:7">
      <c r="B14" s="93" t="s">
        <v>391</v>
      </c>
      <c r="C14" s="113" t="s">
        <v>436</v>
      </c>
      <c r="D14" s="105">
        <v>198</v>
      </c>
      <c r="G14" s="100"/>
    </row>
    <row r="15" spans="1:7">
      <c r="B15" s="93" t="s">
        <v>392</v>
      </c>
      <c r="D15" s="105">
        <v>206</v>
      </c>
      <c r="G15" s="100"/>
    </row>
    <row r="16" spans="1:7">
      <c r="C16" s="101"/>
      <c r="G16" s="100"/>
    </row>
    <row r="17" spans="1:7">
      <c r="C17" s="101"/>
      <c r="G17" s="100"/>
    </row>
    <row r="18" spans="1:7">
      <c r="G18" s="100"/>
    </row>
    <row r="19" spans="1:7">
      <c r="D19" s="94" t="s">
        <v>393</v>
      </c>
      <c r="E19" s="106">
        <v>0</v>
      </c>
      <c r="G19" s="100"/>
    </row>
    <row r="21" spans="1:7">
      <c r="A21" s="92"/>
    </row>
    <row r="23" spans="1:7">
      <c r="C23" s="94"/>
      <c r="G23" s="100"/>
    </row>
    <row r="24" spans="1:7">
      <c r="A24" s="92"/>
      <c r="G24" s="100"/>
    </row>
    <row r="25" spans="1:7">
      <c r="C25" s="94"/>
      <c r="G25" s="100"/>
    </row>
    <row r="27" spans="1:7">
      <c r="G27" s="100"/>
    </row>
    <row r="28" spans="1:7">
      <c r="C28" s="94"/>
    </row>
    <row r="29" spans="1:7">
      <c r="A29" s="92"/>
    </row>
    <row r="30" spans="1:7">
      <c r="C30" s="94"/>
    </row>
    <row r="31" spans="1:7">
      <c r="B31" s="108"/>
    </row>
    <row r="32" spans="1:7">
      <c r="B32" s="108"/>
      <c r="C32" s="109"/>
      <c r="D32" s="109" t="s">
        <v>394</v>
      </c>
      <c r="E32" s="106">
        <f>E19+E25+E30</f>
        <v>0</v>
      </c>
    </row>
    <row r="33" spans="1:7">
      <c r="B33" s="108"/>
      <c r="C33" s="109"/>
      <c r="D33" s="109"/>
      <c r="E33" s="110"/>
    </row>
    <row r="34" spans="1:7">
      <c r="B34" s="108"/>
      <c r="C34" s="109"/>
      <c r="D34" s="109"/>
      <c r="E34" s="110"/>
    </row>
    <row r="37" spans="1:7">
      <c r="A37" s="98" t="s">
        <v>395</v>
      </c>
    </row>
    <row r="38" spans="1:7">
      <c r="B38" s="93" t="s">
        <v>437</v>
      </c>
    </row>
    <row r="39" spans="1:7">
      <c r="B39" s="93" t="s">
        <v>346</v>
      </c>
      <c r="C39" s="111">
        <v>0</v>
      </c>
      <c r="D39" s="112">
        <v>0</v>
      </c>
      <c r="E39" s="99">
        <f>C39*D39</f>
        <v>0</v>
      </c>
    </row>
    <row r="40" spans="1:7">
      <c r="B40" s="93" t="s">
        <v>396</v>
      </c>
      <c r="C40" s="111">
        <v>0</v>
      </c>
      <c r="D40" s="112">
        <v>0</v>
      </c>
      <c r="E40" s="99">
        <f>C40*D40</f>
        <v>0</v>
      </c>
    </row>
    <row r="41" spans="1:7">
      <c r="B41" s="93" t="s">
        <v>351</v>
      </c>
      <c r="C41" s="111">
        <v>0</v>
      </c>
      <c r="D41" s="112">
        <v>0</v>
      </c>
      <c r="E41" s="99">
        <f>C41*D41</f>
        <v>0</v>
      </c>
    </row>
    <row r="42" spans="1:7">
      <c r="B42" s="93" t="s">
        <v>397</v>
      </c>
      <c r="C42" s="111">
        <v>0</v>
      </c>
      <c r="D42" s="112">
        <v>0</v>
      </c>
      <c r="E42" s="99">
        <f>C42*D42</f>
        <v>0</v>
      </c>
    </row>
    <row r="43" spans="1:7">
      <c r="B43" s="93" t="s">
        <v>398</v>
      </c>
      <c r="C43" s="111"/>
      <c r="D43" s="104">
        <v>200</v>
      </c>
      <c r="E43" s="99">
        <f>C43*D43</f>
        <v>0</v>
      </c>
    </row>
    <row r="44" spans="1:7">
      <c r="B44" s="98" t="s">
        <v>38</v>
      </c>
      <c r="D44" s="109" t="s">
        <v>399</v>
      </c>
      <c r="E44" s="106">
        <f>SUM(E39:E43)</f>
        <v>0</v>
      </c>
    </row>
    <row r="45" spans="1:7">
      <c r="D45" s="113"/>
      <c r="E45" s="114"/>
    </row>
    <row r="46" spans="1:7">
      <c r="D46" s="113"/>
      <c r="E46" s="114"/>
    </row>
    <row r="47" spans="1:7">
      <c r="D47" s="113"/>
    </row>
    <row r="48" spans="1:7">
      <c r="A48" s="98" t="s">
        <v>400</v>
      </c>
      <c r="B48" s="98"/>
      <c r="C48" s="111">
        <v>0</v>
      </c>
      <c r="D48" s="112">
        <v>0</v>
      </c>
      <c r="E48" s="99">
        <f>C48*D48</f>
        <v>0</v>
      </c>
      <c r="F48" s="115"/>
      <c r="G48" s="116"/>
    </row>
    <row r="49" spans="1:7">
      <c r="B49" s="98"/>
      <c r="C49" s="111"/>
      <c r="D49" s="109" t="s">
        <v>401</v>
      </c>
      <c r="E49" s="106">
        <f>E48</f>
        <v>0</v>
      </c>
      <c r="F49" s="115"/>
      <c r="G49" s="116"/>
    </row>
    <row r="50" spans="1:7">
      <c r="B50" s="98"/>
      <c r="C50" s="111"/>
      <c r="D50" s="112"/>
      <c r="E50" s="107"/>
      <c r="F50" s="115"/>
      <c r="G50" s="116"/>
    </row>
    <row r="51" spans="1:7">
      <c r="A51" s="98" t="s">
        <v>484</v>
      </c>
    </row>
    <row r="52" spans="1:7">
      <c r="A52" s="92" t="s">
        <v>402</v>
      </c>
    </row>
    <row r="53" spans="1:7">
      <c r="A53" s="92" t="str">
        <f>A2</f>
        <v>KARLOVY VARY, VÝMĚNA GRAVITAČNÍHO ŘÁDU TERMOMINERÁLNÍ VODY</v>
      </c>
    </row>
    <row r="54" spans="1:7">
      <c r="A54" s="92" t="str">
        <f>A3</f>
        <v>KARLOVY VARY, LÁZEŇSKÝ MOST M14 - REKONSTRUKCE, DOČASNÉ PŘELOŽENÍ VEDENÍ VŘÍDELNÍ VODY DN 350</v>
      </c>
    </row>
    <row r="55" spans="1:7">
      <c r="A55" s="92"/>
    </row>
    <row r="56" spans="1:7">
      <c r="A56" s="92" t="s">
        <v>403</v>
      </c>
    </row>
    <row r="57" spans="1:7">
      <c r="A57" s="92"/>
    </row>
    <row r="58" spans="1:7">
      <c r="A58" s="92"/>
    </row>
    <row r="60" spans="1:7">
      <c r="A60" s="98" t="s">
        <v>404</v>
      </c>
      <c r="B60" s="98" t="s">
        <v>405</v>
      </c>
      <c r="C60" s="98"/>
      <c r="D60" s="117"/>
      <c r="F60" s="118"/>
    </row>
    <row r="61" spans="1:7">
      <c r="B61" s="93" t="s">
        <v>406</v>
      </c>
      <c r="C61" s="98"/>
      <c r="D61" s="117"/>
      <c r="E61" s="106">
        <v>0</v>
      </c>
      <c r="F61" s="119"/>
    </row>
    <row r="62" spans="1:7">
      <c r="B62" s="93" t="s">
        <v>407</v>
      </c>
      <c r="C62" s="98"/>
      <c r="D62" s="117"/>
      <c r="E62" s="106">
        <v>0</v>
      </c>
      <c r="F62" s="119"/>
    </row>
    <row r="63" spans="1:7">
      <c r="C63" s="98"/>
      <c r="D63" s="117"/>
      <c r="E63" s="117"/>
      <c r="F63" s="119"/>
    </row>
    <row r="64" spans="1:7">
      <c r="C64" s="98"/>
      <c r="D64" s="117"/>
      <c r="E64" s="117"/>
      <c r="F64" s="119"/>
    </row>
    <row r="65" spans="1:6">
      <c r="A65" s="98" t="s">
        <v>408</v>
      </c>
      <c r="B65" s="98" t="s">
        <v>409</v>
      </c>
      <c r="C65" s="98"/>
      <c r="D65" s="117"/>
      <c r="E65" s="107" t="s">
        <v>410</v>
      </c>
      <c r="F65" s="120"/>
    </row>
    <row r="66" spans="1:6">
      <c r="B66" s="98"/>
      <c r="C66" s="98"/>
      <c r="D66" s="117"/>
      <c r="E66" s="107"/>
      <c r="F66" s="120"/>
    </row>
    <row r="67" spans="1:6">
      <c r="B67" s="98"/>
      <c r="C67" s="98"/>
      <c r="D67" s="117"/>
      <c r="E67" s="107"/>
      <c r="F67" s="120"/>
    </row>
    <row r="68" spans="1:6">
      <c r="A68" s="98" t="s">
        <v>411</v>
      </c>
      <c r="B68" s="98" t="s">
        <v>412</v>
      </c>
      <c r="C68" s="98"/>
      <c r="D68" s="117"/>
      <c r="E68" s="106">
        <f>E32</f>
        <v>0</v>
      </c>
      <c r="F68" s="120"/>
    </row>
    <row r="69" spans="1:6">
      <c r="B69" s="98"/>
      <c r="C69" s="98"/>
      <c r="D69" s="117"/>
      <c r="E69" s="107"/>
      <c r="F69" s="120"/>
    </row>
    <row r="70" spans="1:6">
      <c r="B70" s="98"/>
      <c r="C70" s="98"/>
      <c r="D70" s="117"/>
      <c r="E70" s="107"/>
      <c r="F70" s="120"/>
    </row>
    <row r="71" spans="1:6">
      <c r="A71" s="98" t="s">
        <v>413</v>
      </c>
      <c r="B71" s="98" t="s">
        <v>414</v>
      </c>
      <c r="C71" s="98"/>
      <c r="D71" s="117"/>
      <c r="E71" s="107" t="s">
        <v>410</v>
      </c>
      <c r="F71" s="120"/>
    </row>
    <row r="72" spans="1:6">
      <c r="B72" s="98"/>
      <c r="C72" s="98"/>
      <c r="D72" s="117"/>
      <c r="E72" s="107"/>
      <c r="F72" s="120"/>
    </row>
    <row r="73" spans="1:6">
      <c r="B73" s="98"/>
      <c r="C73" s="98"/>
      <c r="D73" s="117"/>
      <c r="E73" s="107"/>
      <c r="F73" s="120"/>
    </row>
    <row r="74" spans="1:6">
      <c r="A74" s="98" t="s">
        <v>415</v>
      </c>
      <c r="B74" s="98" t="s">
        <v>416</v>
      </c>
      <c r="C74" s="98"/>
      <c r="D74" s="117"/>
      <c r="E74" s="107" t="s">
        <v>410</v>
      </c>
      <c r="F74" s="120"/>
    </row>
    <row r="75" spans="1:6">
      <c r="B75" s="98"/>
      <c r="C75" s="98"/>
      <c r="D75" s="117"/>
      <c r="E75" s="107"/>
      <c r="F75" s="120"/>
    </row>
    <row r="76" spans="1:6">
      <c r="B76" s="98"/>
      <c r="C76" s="98"/>
      <c r="D76" s="117"/>
      <c r="E76" s="107"/>
      <c r="F76" s="120"/>
    </row>
    <row r="77" spans="1:6">
      <c r="A77" s="98" t="s">
        <v>417</v>
      </c>
      <c r="B77" s="98" t="s">
        <v>418</v>
      </c>
      <c r="C77" s="98"/>
      <c r="D77" s="117"/>
      <c r="E77" s="106">
        <f>E44</f>
        <v>0</v>
      </c>
      <c r="F77" s="120"/>
    </row>
    <row r="78" spans="1:6">
      <c r="B78" s="98"/>
      <c r="C78" s="98"/>
      <c r="D78" s="117"/>
      <c r="E78" s="107"/>
      <c r="F78" s="120"/>
    </row>
    <row r="79" spans="1:6">
      <c r="A79" s="121"/>
      <c r="B79" s="98"/>
      <c r="C79" s="98"/>
      <c r="D79" s="117"/>
      <c r="E79" s="107"/>
      <c r="F79" s="120"/>
    </row>
    <row r="80" spans="1:6">
      <c r="A80" s="98" t="s">
        <v>419</v>
      </c>
      <c r="B80" s="98" t="s">
        <v>420</v>
      </c>
      <c r="C80" s="98"/>
      <c r="D80" s="117"/>
      <c r="E80" s="107" t="s">
        <v>410</v>
      </c>
      <c r="F80" s="120"/>
    </row>
    <row r="81" spans="1:6">
      <c r="B81" s="98"/>
      <c r="C81" s="98"/>
      <c r="D81" s="117"/>
      <c r="E81" s="107"/>
      <c r="F81" s="120"/>
    </row>
    <row r="82" spans="1:6">
      <c r="B82" s="98"/>
      <c r="C82" s="98"/>
      <c r="D82" s="117"/>
      <c r="E82" s="107"/>
      <c r="F82" s="120"/>
    </row>
    <row r="83" spans="1:6">
      <c r="A83" s="98" t="s">
        <v>421</v>
      </c>
      <c r="B83" s="98" t="s">
        <v>422</v>
      </c>
      <c r="C83" s="98"/>
      <c r="D83" s="117"/>
      <c r="E83" s="106">
        <v>0</v>
      </c>
      <c r="F83" s="120"/>
    </row>
    <row r="84" spans="1:6">
      <c r="B84" s="98"/>
      <c r="C84" s="98"/>
      <c r="D84" s="117"/>
      <c r="E84" s="107"/>
      <c r="F84" s="120"/>
    </row>
    <row r="85" spans="1:6">
      <c r="B85" s="98"/>
      <c r="C85" s="98"/>
      <c r="D85" s="117"/>
      <c r="E85" s="107"/>
      <c r="F85" s="120"/>
    </row>
    <row r="86" spans="1:6">
      <c r="A86" s="98" t="s">
        <v>423</v>
      </c>
      <c r="B86" s="98" t="s">
        <v>424</v>
      </c>
      <c r="C86" s="98"/>
      <c r="D86" s="117"/>
      <c r="E86" s="107" t="s">
        <v>410</v>
      </c>
      <c r="F86" s="120"/>
    </row>
    <row r="87" spans="1:6">
      <c r="B87" s="98"/>
      <c r="C87" s="98"/>
      <c r="D87" s="117"/>
      <c r="E87" s="107"/>
      <c r="F87" s="120"/>
    </row>
    <row r="88" spans="1:6">
      <c r="B88" s="98"/>
      <c r="C88" s="98"/>
      <c r="D88" s="117"/>
      <c r="E88" s="107"/>
      <c r="F88" s="120"/>
    </row>
    <row r="89" spans="1:6">
      <c r="A89" s="98" t="s">
        <v>425</v>
      </c>
      <c r="B89" s="98" t="s">
        <v>426</v>
      </c>
      <c r="C89" s="98"/>
      <c r="D89" s="117"/>
      <c r="E89" s="107" t="s">
        <v>410</v>
      </c>
      <c r="F89" s="120"/>
    </row>
    <row r="90" spans="1:6">
      <c r="B90" s="98" t="s">
        <v>427</v>
      </c>
      <c r="C90" s="98"/>
      <c r="D90" s="117"/>
      <c r="E90" s="107"/>
      <c r="F90" s="120"/>
    </row>
    <row r="91" spans="1:6">
      <c r="B91" s="98"/>
      <c r="C91" s="98"/>
      <c r="D91" s="117"/>
      <c r="E91" s="107"/>
      <c r="F91" s="120"/>
    </row>
    <row r="92" spans="1:6">
      <c r="A92" s="98" t="s">
        <v>428</v>
      </c>
      <c r="B92" s="98" t="s">
        <v>429</v>
      </c>
      <c r="C92" s="98"/>
      <c r="D92" s="117"/>
      <c r="E92" s="106">
        <f>E49</f>
        <v>0</v>
      </c>
      <c r="F92" s="120"/>
    </row>
    <row r="93" spans="1:6">
      <c r="B93" s="98"/>
      <c r="C93" s="98"/>
      <c r="D93" s="117"/>
      <c r="E93" s="122"/>
      <c r="F93" s="120"/>
    </row>
    <row r="94" spans="1:6" ht="16.5" thickBot="1">
      <c r="A94" s="123"/>
      <c r="B94" s="124"/>
      <c r="C94" s="124"/>
      <c r="D94" s="125"/>
      <c r="E94" s="126"/>
      <c r="F94" s="120"/>
    </row>
    <row r="95" spans="1:6">
      <c r="D95" s="117"/>
      <c r="E95" s="127"/>
      <c r="F95" s="120"/>
    </row>
    <row r="96" spans="1:6">
      <c r="D96" s="117"/>
      <c r="E96" s="127"/>
      <c r="F96" s="120"/>
    </row>
    <row r="97" spans="1:7">
      <c r="A97" s="98" t="s">
        <v>430</v>
      </c>
      <c r="D97" s="117"/>
      <c r="E97" s="106">
        <f>SUM(E60:E94)</f>
        <v>0</v>
      </c>
      <c r="F97" s="120"/>
      <c r="G97" s="100"/>
    </row>
    <row r="98" spans="1:7">
      <c r="D98" s="117"/>
      <c r="E98" s="107"/>
      <c r="F98" s="120"/>
    </row>
  </sheetData>
  <printOptions horizontalCentered="1"/>
  <pageMargins left="0.78740157480314965" right="0.78740157480314965" top="0.78740157480314965" bottom="0.78740157480314965" header="0.31496062992125984" footer="0.31496062992125984"/>
  <pageSetup paperSize="9" scale="65" fitToHeight="2" orientation="portrait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7"/>
  <sheetViews>
    <sheetView workbookViewId="0">
      <selection activeCell="A52" sqref="A52"/>
    </sheetView>
  </sheetViews>
  <sheetFormatPr defaultColWidth="12.140625" defaultRowHeight="15" customHeight="1"/>
  <cols>
    <col min="1" max="1" width="9.140625" customWidth="1"/>
    <col min="2" max="2" width="12.85546875" customWidth="1"/>
    <col min="3" max="3" width="27.140625" customWidth="1"/>
    <col min="4" max="4" width="10" customWidth="1"/>
    <col min="5" max="5" width="14" customWidth="1"/>
    <col min="6" max="6" width="27.140625" customWidth="1"/>
    <col min="7" max="7" width="9.140625" customWidth="1"/>
    <col min="8" max="8" width="12.85546875" customWidth="1"/>
    <col min="9" max="9" width="27.140625" customWidth="1"/>
  </cols>
  <sheetData>
    <row r="1" spans="1:9" ht="54.75" customHeight="1">
      <c r="A1" s="157" t="s">
        <v>483</v>
      </c>
      <c r="B1" s="158"/>
      <c r="C1" s="158"/>
      <c r="D1" s="158"/>
      <c r="E1" s="158"/>
      <c r="F1" s="158"/>
      <c r="G1" s="158"/>
      <c r="H1" s="158"/>
      <c r="I1" s="158"/>
    </row>
    <row r="2" spans="1:9">
      <c r="A2" s="159" t="s">
        <v>1</v>
      </c>
      <c r="B2" s="160"/>
      <c r="C2" s="170" t="str">
        <f>'Stavební rozpočet'!D2</f>
        <v>K. Vary - Výměna GŘTV - Lázeňský most M 14 - Dočasné přeložení vřídelní vody DN 350</v>
      </c>
      <c r="D2" s="171"/>
      <c r="E2" s="164" t="s">
        <v>5</v>
      </c>
      <c r="F2" s="164" t="str">
        <f>'Stavební rozpočet'!J2</f>
        <v>SPLZaK, Lázeňská 2, 36001 Karlovy Vary</v>
      </c>
      <c r="G2" s="160"/>
      <c r="H2" s="164" t="s">
        <v>333</v>
      </c>
      <c r="I2" s="166" t="s">
        <v>54</v>
      </c>
    </row>
    <row r="3" spans="1:9" ht="25.5" customHeight="1">
      <c r="A3" s="161"/>
      <c r="B3" s="162"/>
      <c r="C3" s="172"/>
      <c r="D3" s="172"/>
      <c r="E3" s="162"/>
      <c r="F3" s="162"/>
      <c r="G3" s="162"/>
      <c r="H3" s="162"/>
      <c r="I3" s="167"/>
    </row>
    <row r="4" spans="1:9">
      <c r="A4" s="163" t="s">
        <v>7</v>
      </c>
      <c r="B4" s="162"/>
      <c r="C4" s="165" t="str">
        <f>'Stavební rozpočet'!D4</f>
        <v>PCN-2516-1</v>
      </c>
      <c r="D4" s="162"/>
      <c r="E4" s="165" t="s">
        <v>10</v>
      </c>
      <c r="F4" s="165" t="str">
        <f>'Stavební rozpočet'!J4</f>
        <v>ALFA-projekt, s.r.o., K Panelárně 172, 352 32 Otovice</v>
      </c>
      <c r="G4" s="162"/>
      <c r="H4" s="165" t="s">
        <v>333</v>
      </c>
      <c r="I4" s="167" t="s">
        <v>54</v>
      </c>
    </row>
    <row r="5" spans="1:9" ht="15" customHeight="1">
      <c r="A5" s="161"/>
      <c r="B5" s="162"/>
      <c r="C5" s="162"/>
      <c r="D5" s="162"/>
      <c r="E5" s="162"/>
      <c r="F5" s="162"/>
      <c r="G5" s="162"/>
      <c r="H5" s="162"/>
      <c r="I5" s="167"/>
    </row>
    <row r="6" spans="1:9">
      <c r="A6" s="163" t="s">
        <v>11</v>
      </c>
      <c r="B6" s="162"/>
      <c r="C6" s="165" t="str">
        <f>'Stavební rozpočet'!D6</f>
        <v>K. Vary - Výměna gravitační řadu termominerální vody</v>
      </c>
      <c r="D6" s="162"/>
      <c r="E6" s="165" t="s">
        <v>14</v>
      </c>
      <c r="F6" s="165" t="str">
        <f>'Stavební rozpočet'!J6</f>
        <v> </v>
      </c>
      <c r="G6" s="162"/>
      <c r="H6" s="165" t="s">
        <v>333</v>
      </c>
      <c r="I6" s="167" t="s">
        <v>54</v>
      </c>
    </row>
    <row r="7" spans="1:9" ht="15" customHeight="1">
      <c r="A7" s="161"/>
      <c r="B7" s="162"/>
      <c r="C7" s="162"/>
      <c r="D7" s="162"/>
      <c r="E7" s="162"/>
      <c r="F7" s="162"/>
      <c r="G7" s="162"/>
      <c r="H7" s="162"/>
      <c r="I7" s="167"/>
    </row>
    <row r="8" spans="1:9">
      <c r="A8" s="163" t="s">
        <v>9</v>
      </c>
      <c r="B8" s="162"/>
      <c r="C8" s="169">
        <f>'Stavební rozpočet'!H4</f>
        <v>45884</v>
      </c>
      <c r="D8" s="169"/>
      <c r="E8" s="165" t="s">
        <v>13</v>
      </c>
      <c r="F8" s="169">
        <f>'Stavební rozpočet'!H6</f>
        <v>45930</v>
      </c>
      <c r="G8" s="169"/>
      <c r="H8" s="162" t="s">
        <v>334</v>
      </c>
      <c r="I8" s="168">
        <f>MAX('Stavební rozpočet'!A:A)</f>
        <v>76</v>
      </c>
    </row>
    <row r="9" spans="1:9">
      <c r="A9" s="161"/>
      <c r="B9" s="162"/>
      <c r="C9" s="162"/>
      <c r="D9" s="162"/>
      <c r="E9" s="162"/>
      <c r="F9" s="162"/>
      <c r="G9" s="162"/>
      <c r="H9" s="162"/>
      <c r="I9" s="167"/>
    </row>
    <row r="10" spans="1:9">
      <c r="A10" s="163" t="s">
        <v>16</v>
      </c>
      <c r="B10" s="162"/>
      <c r="C10" s="165" t="str">
        <f>'Stavební rozpočet'!D8</f>
        <v>827</v>
      </c>
      <c r="D10" s="162"/>
      <c r="E10" s="165" t="s">
        <v>19</v>
      </c>
      <c r="F10" s="165" t="str">
        <f>'Stavební rozpočet'!J8</f>
        <v>ALFA-projekt, s.r.o., K Panelárně 172, 352 32 Otovice</v>
      </c>
      <c r="G10" s="162"/>
      <c r="H10" s="162" t="s">
        <v>335</v>
      </c>
      <c r="I10" s="174">
        <f>'Stavební rozpočet'!H8</f>
        <v>45842</v>
      </c>
    </row>
    <row r="11" spans="1:9">
      <c r="A11" s="179"/>
      <c r="B11" s="173"/>
      <c r="C11" s="173"/>
      <c r="D11" s="173"/>
      <c r="E11" s="173"/>
      <c r="F11" s="173"/>
      <c r="G11" s="173"/>
      <c r="H11" s="173"/>
      <c r="I11" s="175"/>
    </row>
    <row r="12" spans="1:9" ht="23.25">
      <c r="A12" s="176" t="s">
        <v>336</v>
      </c>
      <c r="B12" s="176"/>
      <c r="C12" s="176"/>
      <c r="D12" s="176"/>
      <c r="E12" s="176"/>
      <c r="F12" s="176"/>
      <c r="G12" s="176"/>
      <c r="H12" s="176"/>
      <c r="I12" s="176"/>
    </row>
    <row r="13" spans="1:9" ht="26.25" customHeight="1">
      <c r="A13" s="64" t="s">
        <v>337</v>
      </c>
      <c r="B13" s="177" t="s">
        <v>338</v>
      </c>
      <c r="C13" s="178"/>
      <c r="D13" s="65" t="s">
        <v>339</v>
      </c>
      <c r="E13" s="177" t="s">
        <v>340</v>
      </c>
      <c r="F13" s="178"/>
      <c r="G13" s="65" t="s">
        <v>341</v>
      </c>
      <c r="H13" s="177" t="s">
        <v>342</v>
      </c>
      <c r="I13" s="178"/>
    </row>
    <row r="14" spans="1:9" ht="15.75">
      <c r="A14" s="66" t="s">
        <v>343</v>
      </c>
      <c r="B14" s="67" t="s">
        <v>344</v>
      </c>
      <c r="C14" s="68">
        <f>SUM('Stavební rozpočet'!AB12:AB408)</f>
        <v>0</v>
      </c>
      <c r="D14" s="186" t="s">
        <v>345</v>
      </c>
      <c r="E14" s="187"/>
      <c r="F14" s="68">
        <f>VORN!I15</f>
        <v>0</v>
      </c>
      <c r="G14" s="186" t="s">
        <v>346</v>
      </c>
      <c r="H14" s="187"/>
      <c r="I14" s="68">
        <f>VORN!I21</f>
        <v>0</v>
      </c>
    </row>
    <row r="15" spans="1:9" ht="15.75">
      <c r="A15" s="69" t="s">
        <v>54</v>
      </c>
      <c r="B15" s="67" t="s">
        <v>37</v>
      </c>
      <c r="C15" s="68">
        <f>SUM('Stavební rozpočet'!AC12:AC408)</f>
        <v>0</v>
      </c>
      <c r="D15" s="186" t="s">
        <v>347</v>
      </c>
      <c r="E15" s="187"/>
      <c r="F15" s="68">
        <f>VORN!I16</f>
        <v>0</v>
      </c>
      <c r="G15" s="186" t="s">
        <v>348</v>
      </c>
      <c r="H15" s="187"/>
      <c r="I15" s="68">
        <f>VORN!I22</f>
        <v>0</v>
      </c>
    </row>
    <row r="16" spans="1:9" ht="15.75">
      <c r="A16" s="66" t="s">
        <v>349</v>
      </c>
      <c r="B16" s="67" t="s">
        <v>344</v>
      </c>
      <c r="C16" s="68">
        <f>SUM('Stavební rozpočet'!AD12:AD408)</f>
        <v>0</v>
      </c>
      <c r="D16" s="186" t="s">
        <v>350</v>
      </c>
      <c r="E16" s="187"/>
      <c r="F16" s="68">
        <f>VORN!I17</f>
        <v>0</v>
      </c>
      <c r="G16" s="186" t="s">
        <v>351</v>
      </c>
      <c r="H16" s="187"/>
      <c r="I16" s="68">
        <f>VORN!I23</f>
        <v>0</v>
      </c>
    </row>
    <row r="17" spans="1:9" ht="15.75">
      <c r="A17" s="69" t="s">
        <v>54</v>
      </c>
      <c r="B17" s="67" t="s">
        <v>37</v>
      </c>
      <c r="C17" s="68">
        <f>SUM('Stavební rozpočet'!AE12:AE408)</f>
        <v>0</v>
      </c>
      <c r="D17" s="188" t="s">
        <v>442</v>
      </c>
      <c r="E17" s="187"/>
      <c r="F17" s="68">
        <v>0</v>
      </c>
      <c r="G17" s="186" t="s">
        <v>352</v>
      </c>
      <c r="H17" s="187"/>
      <c r="I17" s="68">
        <f>VORN!I24</f>
        <v>0</v>
      </c>
    </row>
    <row r="18" spans="1:9" ht="15.75">
      <c r="A18" s="66" t="s">
        <v>353</v>
      </c>
      <c r="B18" s="67" t="s">
        <v>344</v>
      </c>
      <c r="C18" s="68">
        <f>SUM('Stavební rozpočet'!AF12:AF408)</f>
        <v>0</v>
      </c>
      <c r="D18" s="188" t="s">
        <v>477</v>
      </c>
      <c r="E18" s="187"/>
      <c r="F18" s="68">
        <v>0</v>
      </c>
      <c r="G18" s="186" t="s">
        <v>354</v>
      </c>
      <c r="H18" s="187"/>
      <c r="I18" s="68">
        <f>VORN!I25</f>
        <v>0</v>
      </c>
    </row>
    <row r="19" spans="1:9" ht="15.75">
      <c r="A19" s="69" t="s">
        <v>54</v>
      </c>
      <c r="B19" s="67" t="s">
        <v>37</v>
      </c>
      <c r="C19" s="68">
        <f>SUM('Stavební rozpočet'!AG12:AG408)</f>
        <v>0</v>
      </c>
      <c r="D19" s="188" t="s">
        <v>443</v>
      </c>
      <c r="E19" s="187"/>
      <c r="F19" s="68">
        <v>0</v>
      </c>
      <c r="G19" s="186" t="s">
        <v>355</v>
      </c>
      <c r="H19" s="187"/>
      <c r="I19" s="68">
        <f>VORN!I26</f>
        <v>0</v>
      </c>
    </row>
    <row r="20" spans="1:9" ht="15.75">
      <c r="A20" s="180" t="s">
        <v>356</v>
      </c>
      <c r="B20" s="181"/>
      <c r="C20" s="68">
        <f>SUM('Stavební rozpočet'!AH12:AH408)</f>
        <v>0</v>
      </c>
      <c r="D20" s="188" t="s">
        <v>444</v>
      </c>
      <c r="E20" s="187"/>
      <c r="F20" s="68">
        <v>0</v>
      </c>
      <c r="G20" s="186" t="s">
        <v>54</v>
      </c>
      <c r="H20" s="187"/>
      <c r="I20" s="70" t="s">
        <v>54</v>
      </c>
    </row>
    <row r="21" spans="1:9" ht="15.75">
      <c r="A21" s="182" t="s">
        <v>357</v>
      </c>
      <c r="B21" s="183"/>
      <c r="C21" s="71">
        <f>SUM('Stavební rozpočet'!Z12:Z408)</f>
        <v>0</v>
      </c>
      <c r="D21" s="189" t="s">
        <v>54</v>
      </c>
      <c r="E21" s="190"/>
      <c r="F21" s="72" t="s">
        <v>54</v>
      </c>
      <c r="G21" s="189" t="s">
        <v>54</v>
      </c>
      <c r="H21" s="190"/>
      <c r="I21" s="72" t="s">
        <v>54</v>
      </c>
    </row>
    <row r="22" spans="1:9" ht="16.5" customHeight="1">
      <c r="A22" s="184" t="s">
        <v>358</v>
      </c>
      <c r="B22" s="185"/>
      <c r="C22" s="73">
        <f>ROUND(SUM(C14:C21),2)</f>
        <v>0</v>
      </c>
      <c r="D22" s="191" t="s">
        <v>359</v>
      </c>
      <c r="E22" s="185"/>
      <c r="F22" s="73">
        <f>SUM(F14:F21)</f>
        <v>0</v>
      </c>
      <c r="G22" s="191" t="s">
        <v>360</v>
      </c>
      <c r="H22" s="185"/>
      <c r="I22" s="73">
        <f>SUM(I14:I21)</f>
        <v>0</v>
      </c>
    </row>
    <row r="23" spans="1:9" ht="15.75">
      <c r="D23" s="180" t="s">
        <v>361</v>
      </c>
      <c r="E23" s="181"/>
      <c r="F23" s="74">
        <v>0</v>
      </c>
      <c r="G23" s="192" t="s">
        <v>362</v>
      </c>
      <c r="H23" s="181"/>
      <c r="I23" s="68">
        <v>0</v>
      </c>
    </row>
    <row r="24" spans="1:9" ht="15.75">
      <c r="G24" s="180" t="s">
        <v>363</v>
      </c>
      <c r="H24" s="181"/>
      <c r="I24" s="68">
        <f>vorn_sum</f>
        <v>0</v>
      </c>
    </row>
    <row r="25" spans="1:9" ht="15.75">
      <c r="G25" s="180" t="s">
        <v>364</v>
      </c>
      <c r="H25" s="181"/>
      <c r="I25" s="68">
        <v>0</v>
      </c>
    </row>
    <row r="27" spans="1:9" ht="15.75">
      <c r="A27" s="193" t="s">
        <v>365</v>
      </c>
      <c r="B27" s="194"/>
      <c r="C27" s="75">
        <f>ROUND(SUM('Stavební rozpočet'!AJ12:AJ408),2)</f>
        <v>0</v>
      </c>
    </row>
    <row r="28" spans="1:9" ht="15.75">
      <c r="A28" s="195" t="s">
        <v>366</v>
      </c>
      <c r="B28" s="196"/>
      <c r="C28" s="76">
        <f>ROUND(SUM('Stavební rozpočet'!AK12:AK408),2)</f>
        <v>0</v>
      </c>
      <c r="D28" s="197" t="s">
        <v>367</v>
      </c>
      <c r="E28" s="194"/>
      <c r="F28" s="75">
        <f>ROUND(C28*(12/100),2)</f>
        <v>0</v>
      </c>
      <c r="G28" s="197" t="s">
        <v>368</v>
      </c>
      <c r="H28" s="194"/>
      <c r="I28" s="75">
        <f>ROUND(SUM(C27:C29),2)</f>
        <v>0</v>
      </c>
    </row>
    <row r="29" spans="1:9" ht="15.75">
      <c r="A29" s="195" t="s">
        <v>369</v>
      </c>
      <c r="B29" s="196"/>
      <c r="C29" s="76">
        <f>ROUND(SUM('Stavební rozpočet'!AL12:AL408)+(F22+I22+F23+I23+I24+I25),2)</f>
        <v>0</v>
      </c>
      <c r="D29" s="198" t="s">
        <v>370</v>
      </c>
      <c r="E29" s="196"/>
      <c r="F29" s="76">
        <f>ROUND(C29*(21/100),2)</f>
        <v>0</v>
      </c>
      <c r="G29" s="198" t="s">
        <v>371</v>
      </c>
      <c r="H29" s="196"/>
      <c r="I29" s="76">
        <f>ROUND(SUM(F28:F29)+I28,2)</f>
        <v>0</v>
      </c>
    </row>
    <row r="31" spans="1:9">
      <c r="A31" s="210" t="s">
        <v>372</v>
      </c>
      <c r="B31" s="202"/>
      <c r="C31" s="203"/>
      <c r="D31" s="201" t="s">
        <v>373</v>
      </c>
      <c r="E31" s="202"/>
      <c r="F31" s="203"/>
      <c r="G31" s="201" t="s">
        <v>374</v>
      </c>
      <c r="H31" s="202"/>
      <c r="I31" s="203"/>
    </row>
    <row r="32" spans="1:9">
      <c r="A32" s="211" t="s">
        <v>54</v>
      </c>
      <c r="B32" s="205"/>
      <c r="C32" s="206"/>
      <c r="D32" s="204" t="s">
        <v>54</v>
      </c>
      <c r="E32" s="205"/>
      <c r="F32" s="206"/>
      <c r="G32" s="204" t="s">
        <v>54</v>
      </c>
      <c r="H32" s="205"/>
      <c r="I32" s="206"/>
    </row>
    <row r="33" spans="1:9">
      <c r="A33" s="211" t="s">
        <v>54</v>
      </c>
      <c r="B33" s="205"/>
      <c r="C33" s="206"/>
      <c r="D33" s="204" t="s">
        <v>54</v>
      </c>
      <c r="E33" s="205"/>
      <c r="F33" s="206"/>
      <c r="G33" s="204" t="s">
        <v>54</v>
      </c>
      <c r="H33" s="205"/>
      <c r="I33" s="206"/>
    </row>
    <row r="34" spans="1:9">
      <c r="A34" s="211" t="s">
        <v>54</v>
      </c>
      <c r="B34" s="205"/>
      <c r="C34" s="206"/>
      <c r="D34" s="204" t="s">
        <v>54</v>
      </c>
      <c r="E34" s="205"/>
      <c r="F34" s="206"/>
      <c r="G34" s="204" t="s">
        <v>54</v>
      </c>
      <c r="H34" s="205"/>
      <c r="I34" s="206"/>
    </row>
    <row r="35" spans="1:9">
      <c r="A35" s="212" t="s">
        <v>375</v>
      </c>
      <c r="B35" s="208"/>
      <c r="C35" s="209"/>
      <c r="D35" s="207" t="s">
        <v>375</v>
      </c>
      <c r="E35" s="208"/>
      <c r="F35" s="209"/>
      <c r="G35" s="207" t="s">
        <v>375</v>
      </c>
      <c r="H35" s="208"/>
      <c r="I35" s="209"/>
    </row>
    <row r="36" spans="1:9">
      <c r="A36" s="77" t="s">
        <v>330</v>
      </c>
    </row>
    <row r="37" spans="1:9" ht="12.75" customHeight="1">
      <c r="A37" s="199" t="s">
        <v>54</v>
      </c>
      <c r="B37" s="200"/>
      <c r="C37" s="200"/>
      <c r="D37" s="200"/>
      <c r="E37" s="200"/>
      <c r="F37" s="200"/>
      <c r="G37" s="200"/>
      <c r="H37" s="200"/>
      <c r="I37" s="200"/>
    </row>
  </sheetData>
  <mergeCells count="85"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I10:I11"/>
    <mergeCell ref="A12:I12"/>
    <mergeCell ref="B13:C13"/>
    <mergeCell ref="E13:F13"/>
    <mergeCell ref="H13:I13"/>
    <mergeCell ref="F10:G11"/>
    <mergeCell ref="A10:B11"/>
    <mergeCell ref="H2:H3"/>
    <mergeCell ref="H4:H5"/>
    <mergeCell ref="H6:H7"/>
    <mergeCell ref="H8:H9"/>
    <mergeCell ref="H10:H11"/>
    <mergeCell ref="C4:D5"/>
    <mergeCell ref="C6:D7"/>
    <mergeCell ref="C10:D11"/>
    <mergeCell ref="D8:D9"/>
    <mergeCell ref="E2:E3"/>
    <mergeCell ref="E4:E5"/>
    <mergeCell ref="E6:E7"/>
    <mergeCell ref="E8:E9"/>
    <mergeCell ref="E10:E11"/>
    <mergeCell ref="A1:I1"/>
    <mergeCell ref="A2:B3"/>
    <mergeCell ref="A4:B5"/>
    <mergeCell ref="A6:B7"/>
    <mergeCell ref="A8:B9"/>
    <mergeCell ref="F2:G3"/>
    <mergeCell ref="F4:G5"/>
    <mergeCell ref="F6:G7"/>
    <mergeCell ref="I2:I3"/>
    <mergeCell ref="I4:I5"/>
    <mergeCell ref="I6:I7"/>
    <mergeCell ref="I8:I9"/>
    <mergeCell ref="F8:F9"/>
    <mergeCell ref="G8:G9"/>
    <mergeCell ref="C8:C9"/>
    <mergeCell ref="C2:D3"/>
  </mergeCells>
  <printOptions horizontalCentered="1"/>
  <pageMargins left="0.39370078740157483" right="0.39370078740157483" top="0.59055118110236227" bottom="0.59055118110236227" header="0" footer="0"/>
  <pageSetup scale="84" orientation="landscape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9"/>
  <sheetViews>
    <sheetView workbookViewId="0">
      <pane ySplit="11" topLeftCell="A12" activePane="bottomLeft" state="frozen"/>
      <selection activeCell="A52" sqref="A52"/>
      <selection pane="bottomLeft" activeCell="A52" sqref="A52"/>
    </sheetView>
  </sheetViews>
  <sheetFormatPr defaultColWidth="12.140625" defaultRowHeight="15" customHeight="1"/>
  <cols>
    <col min="1" max="1" width="7.5703125" customWidth="1"/>
    <col min="2" max="2" width="5.7109375" customWidth="1"/>
    <col min="3" max="8" width="15.7109375" customWidth="1"/>
    <col min="9" max="12" width="14.28515625" customWidth="1"/>
    <col min="13" max="16" width="12.140625" hidden="1"/>
  </cols>
  <sheetData>
    <row r="1" spans="1:16" ht="54.75" customHeight="1">
      <c r="A1" s="158" t="s">
        <v>331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6">
      <c r="A2" s="213" t="s">
        <v>1</v>
      </c>
      <c r="B2" s="214"/>
      <c r="C2" s="214"/>
      <c r="D2" s="219" t="str">
        <f>'Stavební rozpočet'!D2</f>
        <v>K. Vary - Výměna GŘTV - Lázeňský most M 14 - Dočasné přeložení vřídelní vody DN 350</v>
      </c>
      <c r="E2" s="220"/>
      <c r="F2" s="220"/>
      <c r="G2" s="222" t="s">
        <v>3</v>
      </c>
      <c r="H2" s="222" t="str">
        <f>'Stavební rozpočet'!H2</f>
        <v xml:space="preserve"> </v>
      </c>
      <c r="I2" s="222" t="s">
        <v>5</v>
      </c>
      <c r="J2" s="222" t="str">
        <f>'Stavební rozpočet'!J2</f>
        <v>SPLZaK, Lázeňská 2, 36001 Karlovy Vary</v>
      </c>
      <c r="K2" s="214"/>
      <c r="L2" s="223"/>
    </row>
    <row r="3" spans="1:16" ht="15" customHeight="1">
      <c r="A3" s="215"/>
      <c r="B3" s="200"/>
      <c r="C3" s="200"/>
      <c r="D3" s="221"/>
      <c r="E3" s="221"/>
      <c r="F3" s="221"/>
      <c r="G3" s="200"/>
      <c r="H3" s="200"/>
      <c r="I3" s="200"/>
      <c r="J3" s="200"/>
      <c r="K3" s="200"/>
      <c r="L3" s="224"/>
    </row>
    <row r="4" spans="1:16">
      <c r="A4" s="216" t="s">
        <v>7</v>
      </c>
      <c r="B4" s="200"/>
      <c r="C4" s="200"/>
      <c r="D4" s="199" t="str">
        <f>'Stavební rozpočet'!D4</f>
        <v>PCN-2516-1</v>
      </c>
      <c r="E4" s="200"/>
      <c r="F4" s="200"/>
      <c r="G4" s="199" t="s">
        <v>9</v>
      </c>
      <c r="H4" s="169">
        <f>'Stavební rozpočet'!H4</f>
        <v>45884</v>
      </c>
      <c r="I4" s="199" t="s">
        <v>10</v>
      </c>
      <c r="J4" s="199" t="str">
        <f>'Stavební rozpočet'!J4</f>
        <v>ALFA-projekt, s.r.o., K Panelárně 172, 352 32 Otovice</v>
      </c>
      <c r="K4" s="200"/>
      <c r="L4" s="224"/>
    </row>
    <row r="5" spans="1:16" ht="15" customHeight="1">
      <c r="A5" s="215"/>
      <c r="B5" s="200"/>
      <c r="C5" s="200"/>
      <c r="D5" s="200"/>
      <c r="E5" s="200"/>
      <c r="F5" s="200"/>
      <c r="G5" s="200"/>
      <c r="H5" s="162"/>
      <c r="I5" s="200"/>
      <c r="J5" s="200"/>
      <c r="K5" s="200"/>
      <c r="L5" s="224"/>
    </row>
    <row r="6" spans="1:16">
      <c r="A6" s="216" t="s">
        <v>11</v>
      </c>
      <c r="B6" s="200"/>
      <c r="C6" s="200"/>
      <c r="D6" s="199" t="str">
        <f>'Stavební rozpočet'!D6</f>
        <v>K. Vary - Výměna gravitační řadu termominerální vody</v>
      </c>
      <c r="E6" s="200"/>
      <c r="F6" s="200"/>
      <c r="G6" s="199" t="s">
        <v>13</v>
      </c>
      <c r="H6" s="169">
        <f>'Stavební rozpočet'!H6</f>
        <v>45930</v>
      </c>
      <c r="I6" s="199" t="s">
        <v>14</v>
      </c>
      <c r="J6" s="199" t="str">
        <f>'Stavební rozpočet'!J6</f>
        <v> </v>
      </c>
      <c r="K6" s="200"/>
      <c r="L6" s="224"/>
    </row>
    <row r="7" spans="1:16" ht="15" customHeight="1">
      <c r="A7" s="215"/>
      <c r="B7" s="200"/>
      <c r="C7" s="200"/>
      <c r="D7" s="200"/>
      <c r="E7" s="200"/>
      <c r="F7" s="200"/>
      <c r="G7" s="200"/>
      <c r="H7" s="162"/>
      <c r="I7" s="200"/>
      <c r="J7" s="200"/>
      <c r="K7" s="200"/>
      <c r="L7" s="224"/>
    </row>
    <row r="8" spans="1:16">
      <c r="A8" s="216" t="s">
        <v>16</v>
      </c>
      <c r="B8" s="200"/>
      <c r="C8" s="200"/>
      <c r="D8" s="199" t="str">
        <f>'Stavební rozpočet'!D8</f>
        <v>827</v>
      </c>
      <c r="E8" s="200"/>
      <c r="F8" s="200"/>
      <c r="G8" s="199" t="s">
        <v>18</v>
      </c>
      <c r="H8" s="169">
        <f>'Stavební rozpočet'!H8</f>
        <v>45842</v>
      </c>
      <c r="I8" s="199" t="s">
        <v>19</v>
      </c>
      <c r="J8" s="199" t="str">
        <f>'Stavební rozpočet'!J8</f>
        <v>ALFA-projekt, s.r.o., K Panelárně 172, 352 32 Otovice</v>
      </c>
      <c r="K8" s="200"/>
      <c r="L8" s="224"/>
    </row>
    <row r="9" spans="1:16">
      <c r="A9" s="217"/>
      <c r="B9" s="218"/>
      <c r="C9" s="218"/>
      <c r="D9" s="218"/>
      <c r="E9" s="218"/>
      <c r="F9" s="218"/>
      <c r="G9" s="218"/>
      <c r="H9" s="162"/>
      <c r="I9" s="218"/>
      <c r="J9" s="218"/>
      <c r="K9" s="218"/>
      <c r="L9" s="225"/>
    </row>
    <row r="10" spans="1:16">
      <c r="A10" s="50" t="s">
        <v>4</v>
      </c>
      <c r="B10" s="51" t="s">
        <v>4</v>
      </c>
      <c r="C10" s="226" t="s">
        <v>4</v>
      </c>
      <c r="D10" s="227"/>
      <c r="E10" s="227"/>
      <c r="F10" s="227"/>
      <c r="G10" s="227"/>
      <c r="H10" s="228"/>
      <c r="I10" s="232" t="s">
        <v>28</v>
      </c>
      <c r="J10" s="233"/>
      <c r="K10" s="234"/>
      <c r="L10" s="10" t="s">
        <v>29</v>
      </c>
    </row>
    <row r="11" spans="1:16">
      <c r="A11" s="52" t="s">
        <v>21</v>
      </c>
      <c r="B11" s="53" t="s">
        <v>22</v>
      </c>
      <c r="C11" s="229" t="s">
        <v>23</v>
      </c>
      <c r="D11" s="230"/>
      <c r="E11" s="230"/>
      <c r="F11" s="230"/>
      <c r="G11" s="230"/>
      <c r="H11" s="231"/>
      <c r="I11" s="18" t="s">
        <v>36</v>
      </c>
      <c r="J11" s="19" t="s">
        <v>37</v>
      </c>
      <c r="K11" s="20" t="s">
        <v>38</v>
      </c>
      <c r="L11" s="21" t="s">
        <v>38</v>
      </c>
    </row>
    <row r="12" spans="1:16">
      <c r="A12" s="54" t="s">
        <v>54</v>
      </c>
      <c r="B12" s="55" t="s">
        <v>55</v>
      </c>
      <c r="C12" s="235" t="s">
        <v>56</v>
      </c>
      <c r="D12" s="235"/>
      <c r="E12" s="235"/>
      <c r="F12" s="235"/>
      <c r="G12" s="235"/>
      <c r="H12" s="235"/>
      <c r="I12" s="56">
        <f>ROUND('Stavební rozpočet'!J12,2)</f>
        <v>0</v>
      </c>
      <c r="J12" s="56">
        <f>ROUND('Stavební rozpočet'!K12,2)</f>
        <v>0</v>
      </c>
      <c r="K12" s="56">
        <f>ROUND('Stavební rozpočet'!L12,2)</f>
        <v>0</v>
      </c>
      <c r="L12" s="57">
        <f>'Stavební rozpočet'!O12</f>
        <v>0.26356490159999996</v>
      </c>
      <c r="M12" s="58" t="s">
        <v>332</v>
      </c>
      <c r="N12" s="31">
        <f t="shared" ref="N12:N26" si="0">IF(M12="F",0,K12)</f>
        <v>0</v>
      </c>
      <c r="O12" s="3" t="s">
        <v>54</v>
      </c>
      <c r="P12" s="31">
        <f t="shared" ref="P12:P26" si="1">IF(M12="T",0,K12)</f>
        <v>0</v>
      </c>
    </row>
    <row r="13" spans="1:16">
      <c r="A13" s="2" t="s">
        <v>54</v>
      </c>
      <c r="B13" s="3" t="s">
        <v>66</v>
      </c>
      <c r="C13" s="200" t="s">
        <v>67</v>
      </c>
      <c r="D13" s="200"/>
      <c r="E13" s="200"/>
      <c r="F13" s="200"/>
      <c r="G13" s="200"/>
      <c r="H13" s="200"/>
      <c r="I13" s="31">
        <f>ROUND('Stavební rozpočet'!J15,2)</f>
        <v>0</v>
      </c>
      <c r="J13" s="31">
        <f>ROUND('Stavební rozpočet'!K15,2)</f>
        <v>0</v>
      </c>
      <c r="K13" s="31">
        <f>ROUND('Stavební rozpočet'!L15,2)</f>
        <v>0</v>
      </c>
      <c r="L13" s="59">
        <f>'Stavební rozpočet'!O15</f>
        <v>0.40964</v>
      </c>
      <c r="M13" s="58" t="s">
        <v>332</v>
      </c>
      <c r="N13" s="31">
        <f t="shared" si="0"/>
        <v>0</v>
      </c>
      <c r="O13" s="3" t="s">
        <v>54</v>
      </c>
      <c r="P13" s="31">
        <f t="shared" si="1"/>
        <v>0</v>
      </c>
    </row>
    <row r="14" spans="1:16">
      <c r="A14" s="2" t="s">
        <v>54</v>
      </c>
      <c r="B14" s="3" t="s">
        <v>75</v>
      </c>
      <c r="C14" s="200" t="s">
        <v>76</v>
      </c>
      <c r="D14" s="200"/>
      <c r="E14" s="200"/>
      <c r="F14" s="200"/>
      <c r="G14" s="200"/>
      <c r="H14" s="200"/>
      <c r="I14" s="31">
        <f>ROUND('Stavební rozpočet'!J19,2)</f>
        <v>0</v>
      </c>
      <c r="J14" s="31">
        <f>ROUND('Stavební rozpočet'!K19,2)</f>
        <v>0</v>
      </c>
      <c r="K14" s="31">
        <f>ROUND('Stavební rozpočet'!L19,2)</f>
        <v>0</v>
      </c>
      <c r="L14" s="59">
        <f>'Stavební rozpočet'!O19</f>
        <v>4.2525176131000002</v>
      </c>
      <c r="M14" s="58" t="s">
        <v>332</v>
      </c>
      <c r="N14" s="31">
        <f t="shared" si="0"/>
        <v>0</v>
      </c>
      <c r="O14" s="3" t="s">
        <v>54</v>
      </c>
      <c r="P14" s="31">
        <f t="shared" si="1"/>
        <v>0</v>
      </c>
    </row>
    <row r="15" spans="1:16">
      <c r="A15" s="2" t="s">
        <v>54</v>
      </c>
      <c r="B15" s="3" t="s">
        <v>113</v>
      </c>
      <c r="C15" s="200" t="s">
        <v>114</v>
      </c>
      <c r="D15" s="200"/>
      <c r="E15" s="200"/>
      <c r="F15" s="200"/>
      <c r="G15" s="200"/>
      <c r="H15" s="200"/>
      <c r="I15" s="31">
        <f>ROUND('Stavební rozpočet'!J48,2)</f>
        <v>0</v>
      </c>
      <c r="J15" s="31">
        <f>ROUND('Stavební rozpočet'!K48,2)</f>
        <v>0</v>
      </c>
      <c r="K15" s="31">
        <f>ROUND('Stavební rozpočet'!L48,2)</f>
        <v>0</v>
      </c>
      <c r="L15" s="59">
        <f>'Stavební rozpočet'!O48</f>
        <v>3.1899999999999997E-3</v>
      </c>
      <c r="M15" s="58" t="s">
        <v>332</v>
      </c>
      <c r="N15" s="31">
        <f t="shared" si="0"/>
        <v>0</v>
      </c>
      <c r="O15" s="3" t="s">
        <v>54</v>
      </c>
      <c r="P15" s="31">
        <f t="shared" si="1"/>
        <v>0</v>
      </c>
    </row>
    <row r="16" spans="1:16">
      <c r="A16" s="2" t="s">
        <v>54</v>
      </c>
      <c r="B16" s="3" t="s">
        <v>129</v>
      </c>
      <c r="C16" s="200" t="s">
        <v>130</v>
      </c>
      <c r="D16" s="200"/>
      <c r="E16" s="200"/>
      <c r="F16" s="200"/>
      <c r="G16" s="200"/>
      <c r="H16" s="200"/>
      <c r="I16" s="31">
        <f>ROUND('Stavební rozpočet'!J58,2)</f>
        <v>0</v>
      </c>
      <c r="J16" s="31">
        <f>ROUND('Stavební rozpočet'!K58,2)</f>
        <v>0</v>
      </c>
      <c r="K16" s="31">
        <f>ROUND('Stavební rozpočet'!L58,2)</f>
        <v>0</v>
      </c>
      <c r="L16" s="59">
        <f>'Stavební rozpočet'!O58</f>
        <v>0</v>
      </c>
      <c r="M16" s="58" t="s">
        <v>332</v>
      </c>
      <c r="N16" s="31">
        <f t="shared" si="0"/>
        <v>0</v>
      </c>
      <c r="O16" s="3" t="s">
        <v>54</v>
      </c>
      <c r="P16" s="31">
        <f t="shared" si="1"/>
        <v>0</v>
      </c>
    </row>
    <row r="17" spans="1:16">
      <c r="A17" s="2" t="s">
        <v>54</v>
      </c>
      <c r="B17" s="3" t="s">
        <v>135</v>
      </c>
      <c r="C17" s="200" t="s">
        <v>136</v>
      </c>
      <c r="D17" s="200"/>
      <c r="E17" s="200"/>
      <c r="F17" s="200"/>
      <c r="G17" s="200"/>
      <c r="H17" s="200"/>
      <c r="I17" s="31">
        <f>ROUND('Stavební rozpočet'!J60,2)</f>
        <v>0</v>
      </c>
      <c r="J17" s="31">
        <f>ROUND('Stavební rozpočet'!K60,2)</f>
        <v>0</v>
      </c>
      <c r="K17" s="31">
        <f>ROUND('Stavební rozpočet'!L60,2)</f>
        <v>0</v>
      </c>
      <c r="L17" s="59">
        <f>'Stavební rozpočet'!O60</f>
        <v>2.2769087999999997</v>
      </c>
      <c r="M17" s="58" t="s">
        <v>332</v>
      </c>
      <c r="N17" s="31">
        <f t="shared" si="0"/>
        <v>0</v>
      </c>
      <c r="O17" s="3" t="s">
        <v>54</v>
      </c>
      <c r="P17" s="31">
        <f t="shared" si="1"/>
        <v>0</v>
      </c>
    </row>
    <row r="18" spans="1:16">
      <c r="A18" s="2" t="s">
        <v>54</v>
      </c>
      <c r="B18" s="3" t="s">
        <v>161</v>
      </c>
      <c r="C18" s="200" t="s">
        <v>162</v>
      </c>
      <c r="D18" s="200"/>
      <c r="E18" s="200"/>
      <c r="F18" s="200"/>
      <c r="G18" s="200"/>
      <c r="H18" s="200"/>
      <c r="I18" s="31">
        <f>ROUND('Stavební rozpočet'!J75,2)</f>
        <v>0</v>
      </c>
      <c r="J18" s="31">
        <f>ROUND('Stavební rozpočet'!K75,2)</f>
        <v>0</v>
      </c>
      <c r="K18" s="31">
        <f>ROUND('Stavební rozpočet'!L75,2)</f>
        <v>0</v>
      </c>
      <c r="L18" s="59">
        <f>'Stavební rozpočet'!O75</f>
        <v>1.2403080000000002E-2</v>
      </c>
      <c r="M18" s="58" t="s">
        <v>332</v>
      </c>
      <c r="N18" s="31">
        <f t="shared" si="0"/>
        <v>0</v>
      </c>
      <c r="O18" s="3" t="s">
        <v>54</v>
      </c>
      <c r="P18" s="31">
        <f t="shared" si="1"/>
        <v>0</v>
      </c>
    </row>
    <row r="19" spans="1:16">
      <c r="A19" s="2" t="s">
        <v>54</v>
      </c>
      <c r="B19" s="3" t="s">
        <v>174</v>
      </c>
      <c r="C19" s="200" t="s">
        <v>175</v>
      </c>
      <c r="D19" s="200"/>
      <c r="E19" s="200"/>
      <c r="F19" s="200"/>
      <c r="G19" s="200"/>
      <c r="H19" s="200"/>
      <c r="I19" s="31">
        <f>ROUND('Stavební rozpočet'!J84,2)</f>
        <v>0</v>
      </c>
      <c r="J19" s="31">
        <f>ROUND('Stavební rozpočet'!K84,2)</f>
        <v>0</v>
      </c>
      <c r="K19" s="31">
        <f>ROUND('Stavební rozpočet'!L84,2)</f>
        <v>0</v>
      </c>
      <c r="L19" s="59">
        <f>'Stavební rozpočet'!O84</f>
        <v>0</v>
      </c>
      <c r="M19" s="58" t="s">
        <v>332</v>
      </c>
      <c r="N19" s="31">
        <f t="shared" si="0"/>
        <v>0</v>
      </c>
      <c r="O19" s="3" t="s">
        <v>54</v>
      </c>
      <c r="P19" s="31">
        <f t="shared" si="1"/>
        <v>0</v>
      </c>
    </row>
    <row r="20" spans="1:16">
      <c r="A20" s="2" t="s">
        <v>54</v>
      </c>
      <c r="B20" s="3" t="s">
        <v>185</v>
      </c>
      <c r="C20" s="200" t="s">
        <v>186</v>
      </c>
      <c r="D20" s="200"/>
      <c r="E20" s="200"/>
      <c r="F20" s="200"/>
      <c r="G20" s="200"/>
      <c r="H20" s="200"/>
      <c r="I20" s="31">
        <f>ROUND('Stavební rozpočet'!J89,2)</f>
        <v>0</v>
      </c>
      <c r="J20" s="31">
        <f>ROUND('Stavební rozpočet'!K89,2)</f>
        <v>0</v>
      </c>
      <c r="K20" s="31">
        <f>ROUND('Stavební rozpočet'!L89,2)</f>
        <v>0</v>
      </c>
      <c r="L20" s="59">
        <f>'Stavební rozpočet'!O89</f>
        <v>0.47400000000000003</v>
      </c>
      <c r="M20" s="58" t="s">
        <v>332</v>
      </c>
      <c r="N20" s="31">
        <f t="shared" si="0"/>
        <v>0</v>
      </c>
      <c r="O20" s="3" t="s">
        <v>54</v>
      </c>
      <c r="P20" s="31">
        <f t="shared" si="1"/>
        <v>0</v>
      </c>
    </row>
    <row r="21" spans="1:16">
      <c r="A21" s="2" t="s">
        <v>54</v>
      </c>
      <c r="B21" s="3" t="s">
        <v>191</v>
      </c>
      <c r="C21" s="200" t="s">
        <v>192</v>
      </c>
      <c r="D21" s="200"/>
      <c r="E21" s="200"/>
      <c r="F21" s="200"/>
      <c r="G21" s="200"/>
      <c r="H21" s="200"/>
      <c r="I21" s="31">
        <f>ROUND('Stavební rozpočet'!J92,2)</f>
        <v>0</v>
      </c>
      <c r="J21" s="31">
        <f>ROUND('Stavební rozpočet'!K92,2)</f>
        <v>0</v>
      </c>
      <c r="K21" s="31">
        <f>ROUND('Stavební rozpočet'!L92,2)</f>
        <v>0</v>
      </c>
      <c r="L21" s="59">
        <f>'Stavební rozpočet'!O92</f>
        <v>8.3759999999999998E-3</v>
      </c>
      <c r="M21" s="58" t="s">
        <v>332</v>
      </c>
      <c r="N21" s="31">
        <f t="shared" si="0"/>
        <v>0</v>
      </c>
      <c r="O21" s="3" t="s">
        <v>54</v>
      </c>
      <c r="P21" s="31">
        <f t="shared" si="1"/>
        <v>0</v>
      </c>
    </row>
    <row r="22" spans="1:16">
      <c r="A22" s="2" t="s">
        <v>54</v>
      </c>
      <c r="B22" s="3" t="s">
        <v>198</v>
      </c>
      <c r="C22" s="200" t="s">
        <v>199</v>
      </c>
      <c r="D22" s="200"/>
      <c r="E22" s="200"/>
      <c r="F22" s="200"/>
      <c r="G22" s="200"/>
      <c r="H22" s="200"/>
      <c r="I22" s="31">
        <f>ROUND('Stavební rozpočet'!J103,2)</f>
        <v>0</v>
      </c>
      <c r="J22" s="31">
        <f>ROUND('Stavební rozpočet'!K103,2)</f>
        <v>0</v>
      </c>
      <c r="K22" s="31">
        <f>ROUND('Stavební rozpočet'!L103,2)</f>
        <v>0</v>
      </c>
      <c r="L22" s="59">
        <f>'Stavební rozpočet'!O103</f>
        <v>0.24226</v>
      </c>
      <c r="M22" s="58" t="s">
        <v>332</v>
      </c>
      <c r="N22" s="31">
        <f t="shared" si="0"/>
        <v>0</v>
      </c>
      <c r="O22" s="3" t="s">
        <v>54</v>
      </c>
      <c r="P22" s="31">
        <f t="shared" si="1"/>
        <v>0</v>
      </c>
    </row>
    <row r="23" spans="1:16">
      <c r="A23" s="2" t="s">
        <v>54</v>
      </c>
      <c r="B23" s="3" t="s">
        <v>205</v>
      </c>
      <c r="C23" s="200" t="s">
        <v>206</v>
      </c>
      <c r="D23" s="200"/>
      <c r="E23" s="200"/>
      <c r="F23" s="200"/>
      <c r="G23" s="200"/>
      <c r="H23" s="200"/>
      <c r="I23" s="31">
        <f>ROUND('Stavební rozpočet'!J106,2)</f>
        <v>0</v>
      </c>
      <c r="J23" s="31">
        <f>ROUND('Stavební rozpočet'!K106,2)</f>
        <v>0</v>
      </c>
      <c r="K23" s="31">
        <f>ROUND('Stavební rozpočet'!L106,2)</f>
        <v>0</v>
      </c>
      <c r="L23" s="59">
        <f>'Stavební rozpočet'!O106</f>
        <v>0</v>
      </c>
      <c r="M23" s="58" t="s">
        <v>332</v>
      </c>
      <c r="N23" s="31">
        <f t="shared" si="0"/>
        <v>0</v>
      </c>
      <c r="O23" s="3" t="s">
        <v>54</v>
      </c>
      <c r="P23" s="31">
        <f t="shared" si="1"/>
        <v>0</v>
      </c>
    </row>
    <row r="24" spans="1:16">
      <c r="A24" s="2" t="s">
        <v>54</v>
      </c>
      <c r="B24" s="3" t="s">
        <v>210</v>
      </c>
      <c r="C24" s="200" t="s">
        <v>211</v>
      </c>
      <c r="D24" s="200"/>
      <c r="E24" s="200"/>
      <c r="F24" s="200"/>
      <c r="G24" s="200"/>
      <c r="H24" s="200"/>
      <c r="I24" s="31">
        <f>ROUND('Stavební rozpočet'!J109,2)</f>
        <v>0</v>
      </c>
      <c r="J24" s="31">
        <f>ROUND('Stavební rozpočet'!K109,2)</f>
        <v>0</v>
      </c>
      <c r="K24" s="31">
        <f>ROUND('Stavební rozpočet'!L109,2)</f>
        <v>0</v>
      </c>
      <c r="L24" s="59">
        <f>'Stavební rozpočet'!O109</f>
        <v>3.9330000000000003</v>
      </c>
      <c r="M24" s="58" t="s">
        <v>332</v>
      </c>
      <c r="N24" s="31">
        <f t="shared" si="0"/>
        <v>0</v>
      </c>
      <c r="O24" s="3" t="s">
        <v>54</v>
      </c>
      <c r="P24" s="31">
        <f t="shared" si="1"/>
        <v>0</v>
      </c>
    </row>
    <row r="25" spans="1:16">
      <c r="A25" s="2" t="s">
        <v>54</v>
      </c>
      <c r="B25" s="3" t="s">
        <v>280</v>
      </c>
      <c r="C25" s="200" t="s">
        <v>281</v>
      </c>
      <c r="D25" s="200"/>
      <c r="E25" s="200"/>
      <c r="F25" s="200"/>
      <c r="G25" s="200"/>
      <c r="H25" s="200"/>
      <c r="I25" s="31">
        <f>ROUND('Stavební rozpočet'!J159,2)</f>
        <v>0</v>
      </c>
      <c r="J25" s="31">
        <f>ROUND('Stavební rozpočet'!K159,2)</f>
        <v>0</v>
      </c>
      <c r="K25" s="31">
        <f>ROUND('Stavební rozpočet'!L159,2)</f>
        <v>0</v>
      </c>
      <c r="L25" s="59">
        <f>'Stavební rozpočet'!O159</f>
        <v>0</v>
      </c>
      <c r="M25" s="58" t="s">
        <v>332</v>
      </c>
      <c r="N25" s="31">
        <f t="shared" si="0"/>
        <v>0</v>
      </c>
      <c r="O25" s="3" t="s">
        <v>54</v>
      </c>
      <c r="P25" s="31">
        <f t="shared" si="1"/>
        <v>0</v>
      </c>
    </row>
    <row r="26" spans="1:16">
      <c r="A26" s="60" t="s">
        <v>54</v>
      </c>
      <c r="B26" s="61" t="s">
        <v>309</v>
      </c>
      <c r="C26" s="236" t="s">
        <v>310</v>
      </c>
      <c r="D26" s="236"/>
      <c r="E26" s="236"/>
      <c r="F26" s="236"/>
      <c r="G26" s="236"/>
      <c r="H26" s="236"/>
      <c r="I26" s="62">
        <f>ROUND('Stavební rozpočet'!J193,2)</f>
        <v>0</v>
      </c>
      <c r="J26" s="62">
        <f>ROUND('Stavební rozpočet'!K193,2)</f>
        <v>0</v>
      </c>
      <c r="K26" s="62">
        <f>ROUND('Stavební rozpočet'!L193,2)</f>
        <v>0</v>
      </c>
      <c r="L26" s="63">
        <f>'Stavební rozpočet'!O193</f>
        <v>51.096910000000001</v>
      </c>
      <c r="M26" s="58" t="s">
        <v>332</v>
      </c>
      <c r="N26" s="31">
        <f t="shared" si="0"/>
        <v>0</v>
      </c>
      <c r="O26" s="3" t="s">
        <v>54</v>
      </c>
      <c r="P26" s="31">
        <f t="shared" si="1"/>
        <v>0</v>
      </c>
    </row>
    <row r="27" spans="1:16">
      <c r="I27" s="237" t="s">
        <v>329</v>
      </c>
      <c r="J27" s="237"/>
      <c r="K27" s="48">
        <f>ROUND(SUM(N12:N26),2)</f>
        <v>0</v>
      </c>
    </row>
    <row r="28" spans="1:16">
      <c r="A28" s="49" t="s">
        <v>330</v>
      </c>
    </row>
    <row r="29" spans="1:16" ht="12.75" customHeight="1">
      <c r="A29" s="199" t="s">
        <v>54</v>
      </c>
      <c r="B29" s="200"/>
      <c r="C29" s="200"/>
      <c r="D29" s="200"/>
      <c r="E29" s="200"/>
      <c r="F29" s="200"/>
      <c r="G29" s="200"/>
      <c r="H29" s="200"/>
      <c r="I29" s="200"/>
      <c r="J29" s="200"/>
      <c r="K29" s="200"/>
      <c r="L29" s="200"/>
    </row>
  </sheetData>
  <mergeCells count="45">
    <mergeCell ref="C25:H25"/>
    <mergeCell ref="C26:H26"/>
    <mergeCell ref="I27:J27"/>
    <mergeCell ref="A29:L29"/>
    <mergeCell ref="C20:H20"/>
    <mergeCell ref="C21:H21"/>
    <mergeCell ref="C22:H22"/>
    <mergeCell ref="C23:H23"/>
    <mergeCell ref="C24:H24"/>
    <mergeCell ref="C15:H15"/>
    <mergeCell ref="C16:H16"/>
    <mergeCell ref="C17:H17"/>
    <mergeCell ref="C18:H18"/>
    <mergeCell ref="C19:H19"/>
    <mergeCell ref="C11:H11"/>
    <mergeCell ref="I10:K10"/>
    <mergeCell ref="C12:H12"/>
    <mergeCell ref="C13:H13"/>
    <mergeCell ref="C14:H14"/>
    <mergeCell ref="J2:L3"/>
    <mergeCell ref="J4:L5"/>
    <mergeCell ref="J6:L7"/>
    <mergeCell ref="J8:L9"/>
    <mergeCell ref="C10:H10"/>
    <mergeCell ref="H8:H9"/>
    <mergeCell ref="I2:I3"/>
    <mergeCell ref="I4:I5"/>
    <mergeCell ref="I6:I7"/>
    <mergeCell ref="I8:I9"/>
    <mergeCell ref="A1:L1"/>
    <mergeCell ref="A2:C3"/>
    <mergeCell ref="A4:C5"/>
    <mergeCell ref="A6:C7"/>
    <mergeCell ref="A8:C9"/>
    <mergeCell ref="D2:F3"/>
    <mergeCell ref="D4:F5"/>
    <mergeCell ref="D6:F7"/>
    <mergeCell ref="D8:F9"/>
    <mergeCell ref="G2:G3"/>
    <mergeCell ref="G4:G5"/>
    <mergeCell ref="G6:G7"/>
    <mergeCell ref="G8:G9"/>
    <mergeCell ref="H2:H3"/>
    <mergeCell ref="H4:H5"/>
    <mergeCell ref="H6:H7"/>
  </mergeCells>
  <pageMargins left="0.39370078740157483" right="0.39370078740157483" top="0.59055118110236227" bottom="0.59055118110236227" header="0" footer="0"/>
  <pageSetup scale="79" fitToHeight="0" orientation="landscape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X210"/>
  <sheetViews>
    <sheetView zoomScale="85" zoomScaleNormal="85" workbookViewId="0">
      <pane ySplit="11" topLeftCell="A160" activePane="bottomLeft" state="frozen"/>
      <selection activeCell="A52" sqref="A52"/>
      <selection pane="bottomLeft" activeCell="A52" sqref="A52"/>
    </sheetView>
  </sheetViews>
  <sheetFormatPr defaultColWidth="12.140625" defaultRowHeight="15" customHeight="1"/>
  <cols>
    <col min="1" max="1" width="4" customWidth="1"/>
    <col min="2" max="2" width="7.5703125" customWidth="1"/>
    <col min="3" max="3" width="17.85546875" customWidth="1"/>
    <col min="4" max="4" width="69.140625" customWidth="1"/>
    <col min="5" max="5" width="2.5703125" customWidth="1"/>
    <col min="6" max="6" width="7.42578125" customWidth="1"/>
    <col min="7" max="7" width="12.85546875" customWidth="1"/>
    <col min="8" max="8" width="12" customWidth="1"/>
    <col min="9" max="9" width="11.140625" customWidth="1"/>
    <col min="10" max="13" width="15.7109375" customWidth="1"/>
    <col min="14" max="15" width="11.7109375" customWidth="1"/>
    <col min="16" max="16" width="13.42578125" customWidth="1"/>
    <col min="26" max="75" width="0" hidden="1" customWidth="1"/>
    <col min="76" max="76" width="78.5703125" hidden="1" customWidth="1"/>
    <col min="77" max="78" width="0" hidden="1" customWidth="1"/>
  </cols>
  <sheetData>
    <row r="1" spans="1:76" ht="54.75" customHeight="1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Z1" s="156"/>
      <c r="AB1" s="156"/>
      <c r="AC1" s="156"/>
      <c r="AD1" s="156"/>
      <c r="AE1" s="156"/>
      <c r="AF1" s="156"/>
      <c r="AG1" s="156"/>
      <c r="AS1" s="1">
        <f>SUM(AJ1:AJ2)</f>
        <v>0</v>
      </c>
      <c r="AT1" s="1">
        <f>SUM(AK1:AK2)</f>
        <v>0</v>
      </c>
      <c r="AU1" s="1">
        <f>SUM(AL1:AL2)</f>
        <v>0</v>
      </c>
    </row>
    <row r="2" spans="1:76">
      <c r="A2" s="213" t="s">
        <v>1</v>
      </c>
      <c r="B2" s="214"/>
      <c r="C2" s="214"/>
      <c r="D2" s="219" t="s">
        <v>2</v>
      </c>
      <c r="E2" s="220"/>
      <c r="F2" s="214" t="s">
        <v>3</v>
      </c>
      <c r="G2" s="214"/>
      <c r="H2" s="214" t="s">
        <v>4</v>
      </c>
      <c r="I2" s="222" t="s">
        <v>5</v>
      </c>
      <c r="J2" s="222" t="s">
        <v>6</v>
      </c>
      <c r="K2" s="214"/>
      <c r="L2" s="214"/>
      <c r="M2" s="214"/>
      <c r="N2" s="214"/>
      <c r="O2" s="214"/>
      <c r="P2" s="223"/>
    </row>
    <row r="3" spans="1:76">
      <c r="A3" s="215"/>
      <c r="B3" s="200"/>
      <c r="C3" s="200"/>
      <c r="D3" s="221"/>
      <c r="E3" s="221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24"/>
    </row>
    <row r="4" spans="1:76">
      <c r="A4" s="216" t="s">
        <v>7</v>
      </c>
      <c r="B4" s="200"/>
      <c r="C4" s="200"/>
      <c r="D4" s="199" t="s">
        <v>8</v>
      </c>
      <c r="E4" s="200"/>
      <c r="F4" s="200" t="s">
        <v>9</v>
      </c>
      <c r="G4" s="200"/>
      <c r="H4" s="245">
        <v>45884</v>
      </c>
      <c r="I4" s="199" t="s">
        <v>10</v>
      </c>
      <c r="J4" s="238" t="s">
        <v>438</v>
      </c>
      <c r="K4" s="200"/>
      <c r="L4" s="200"/>
      <c r="M4" s="200"/>
      <c r="N4" s="200"/>
      <c r="O4" s="200"/>
      <c r="P4" s="224"/>
      <c r="S4" s="156"/>
    </row>
    <row r="5" spans="1:76">
      <c r="A5" s="215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24"/>
      <c r="S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</row>
    <row r="6" spans="1:76">
      <c r="A6" s="216" t="s">
        <v>11</v>
      </c>
      <c r="B6" s="200"/>
      <c r="C6" s="200"/>
      <c r="D6" s="199" t="s">
        <v>12</v>
      </c>
      <c r="E6" s="200"/>
      <c r="F6" s="200" t="s">
        <v>13</v>
      </c>
      <c r="G6" s="200"/>
      <c r="H6" s="245">
        <v>45930</v>
      </c>
      <c r="I6" s="199" t="s">
        <v>14</v>
      </c>
      <c r="J6" s="200" t="s">
        <v>15</v>
      </c>
      <c r="K6" s="200"/>
      <c r="L6" s="200"/>
      <c r="M6" s="200"/>
      <c r="N6" s="200"/>
      <c r="O6" s="200"/>
      <c r="P6" s="224"/>
    </row>
    <row r="7" spans="1:76">
      <c r="A7" s="215"/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24"/>
      <c r="Y7" s="156"/>
    </row>
    <row r="8" spans="1:76">
      <c r="A8" s="216" t="s">
        <v>16</v>
      </c>
      <c r="B8" s="200"/>
      <c r="C8" s="200"/>
      <c r="D8" s="199" t="s">
        <v>17</v>
      </c>
      <c r="E8" s="200"/>
      <c r="F8" s="200" t="s">
        <v>18</v>
      </c>
      <c r="G8" s="200"/>
      <c r="H8" s="245">
        <v>45842</v>
      </c>
      <c r="I8" s="199" t="s">
        <v>19</v>
      </c>
      <c r="J8" s="199" t="s">
        <v>438</v>
      </c>
      <c r="K8" s="200"/>
      <c r="L8" s="200"/>
      <c r="M8" s="200"/>
      <c r="N8" s="200"/>
      <c r="O8" s="200"/>
      <c r="P8" s="224"/>
    </row>
    <row r="9" spans="1:76">
      <c r="A9" s="217"/>
      <c r="B9" s="218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25"/>
      <c r="Y9" s="156"/>
    </row>
    <row r="10" spans="1:76">
      <c r="A10" s="5" t="s">
        <v>20</v>
      </c>
      <c r="B10" s="6" t="s">
        <v>21</v>
      </c>
      <c r="C10" s="6" t="s">
        <v>22</v>
      </c>
      <c r="D10" s="243" t="s">
        <v>23</v>
      </c>
      <c r="E10" s="244"/>
      <c r="F10" s="6" t="s">
        <v>24</v>
      </c>
      <c r="G10" s="7" t="s">
        <v>25</v>
      </c>
      <c r="H10" s="8" t="s">
        <v>26</v>
      </c>
      <c r="I10" s="9" t="s">
        <v>27</v>
      </c>
      <c r="J10" s="232" t="s">
        <v>28</v>
      </c>
      <c r="K10" s="233"/>
      <c r="L10" s="234"/>
      <c r="M10" s="10" t="s">
        <v>28</v>
      </c>
      <c r="N10" s="249" t="s">
        <v>29</v>
      </c>
      <c r="O10" s="250"/>
      <c r="P10" s="11" t="s">
        <v>30</v>
      </c>
      <c r="Y10" s="156"/>
      <c r="BK10" s="12" t="s">
        <v>31</v>
      </c>
      <c r="BL10" s="13" t="s">
        <v>32</v>
      </c>
      <c r="BW10" s="13" t="s">
        <v>33</v>
      </c>
    </row>
    <row r="11" spans="1:76">
      <c r="A11" s="14" t="s">
        <v>4</v>
      </c>
      <c r="B11" s="15" t="s">
        <v>4</v>
      </c>
      <c r="C11" s="15" t="s">
        <v>4</v>
      </c>
      <c r="D11" s="229" t="s">
        <v>34</v>
      </c>
      <c r="E11" s="248"/>
      <c r="F11" s="15" t="s">
        <v>4</v>
      </c>
      <c r="G11" s="15" t="s">
        <v>4</v>
      </c>
      <c r="H11" s="16" t="s">
        <v>35</v>
      </c>
      <c r="I11" s="17" t="s">
        <v>4</v>
      </c>
      <c r="J11" s="18" t="s">
        <v>36</v>
      </c>
      <c r="K11" s="19" t="s">
        <v>37</v>
      </c>
      <c r="L11" s="20" t="s">
        <v>38</v>
      </c>
      <c r="M11" s="21" t="s">
        <v>39</v>
      </c>
      <c r="N11" s="22" t="s">
        <v>40</v>
      </c>
      <c r="O11" s="23" t="s">
        <v>38</v>
      </c>
      <c r="P11" s="24" t="s">
        <v>41</v>
      </c>
      <c r="Z11" s="12" t="s">
        <v>42</v>
      </c>
      <c r="AA11" s="12" t="s">
        <v>43</v>
      </c>
      <c r="AB11" s="12" t="s">
        <v>44</v>
      </c>
      <c r="AC11" s="12" t="s">
        <v>45</v>
      </c>
      <c r="AD11" s="12" t="s">
        <v>46</v>
      </c>
      <c r="AE11" s="12" t="s">
        <v>47</v>
      </c>
      <c r="AF11" s="12" t="s">
        <v>48</v>
      </c>
      <c r="AG11" s="12" t="s">
        <v>49</v>
      </c>
      <c r="AH11" s="12" t="s">
        <v>50</v>
      </c>
      <c r="BH11" s="12" t="s">
        <v>51</v>
      </c>
      <c r="BI11" s="12" t="s">
        <v>52</v>
      </c>
      <c r="BJ11" s="12" t="s">
        <v>53</v>
      </c>
    </row>
    <row r="12" spans="1:76">
      <c r="A12" s="25" t="s">
        <v>54</v>
      </c>
      <c r="B12" s="26" t="s">
        <v>54</v>
      </c>
      <c r="C12" s="26" t="s">
        <v>55</v>
      </c>
      <c r="D12" s="251" t="s">
        <v>56</v>
      </c>
      <c r="E12" s="252"/>
      <c r="F12" s="27" t="s">
        <v>4</v>
      </c>
      <c r="G12" s="27" t="s">
        <v>4</v>
      </c>
      <c r="H12" s="27" t="s">
        <v>4</v>
      </c>
      <c r="I12" s="27" t="s">
        <v>4</v>
      </c>
      <c r="J12" s="28">
        <f>SUM(J13:J13)</f>
        <v>0</v>
      </c>
      <c r="K12" s="28">
        <f>SUM(K13:K13)</f>
        <v>0</v>
      </c>
      <c r="L12" s="28">
        <f>SUM(L13:L13)</f>
        <v>0</v>
      </c>
      <c r="M12" s="28">
        <f>SUM(M13:M13)</f>
        <v>0</v>
      </c>
      <c r="N12" s="29" t="s">
        <v>54</v>
      </c>
      <c r="O12" s="28">
        <f>SUM(O13:O13)</f>
        <v>0.26356490159999996</v>
      </c>
      <c r="P12" s="30" t="s">
        <v>54</v>
      </c>
      <c r="AI12" s="12" t="s">
        <v>54</v>
      </c>
      <c r="AS12" s="1">
        <f>SUM(AJ13:AJ13)</f>
        <v>0</v>
      </c>
      <c r="AT12" s="1">
        <f>SUM(AK13:AK13)</f>
        <v>0</v>
      </c>
      <c r="AU12" s="1">
        <f>SUM(AL13:AL13)</f>
        <v>0</v>
      </c>
    </row>
    <row r="13" spans="1:76">
      <c r="A13" s="2" t="s">
        <v>57</v>
      </c>
      <c r="B13" s="3" t="s">
        <v>54</v>
      </c>
      <c r="C13" s="3" t="s">
        <v>58</v>
      </c>
      <c r="D13" s="199" t="s">
        <v>59</v>
      </c>
      <c r="E13" s="200"/>
      <c r="F13" s="3" t="s">
        <v>60</v>
      </c>
      <c r="G13" s="31">
        <v>0.24023999999999998</v>
      </c>
      <c r="H13" s="31">
        <v>0</v>
      </c>
      <c r="I13" s="32">
        <v>21</v>
      </c>
      <c r="J13" s="31">
        <f>ROUND(G13*AO13,2)</f>
        <v>0</v>
      </c>
      <c r="K13" s="31">
        <f>ROUND(G13*AP13,2)</f>
        <v>0</v>
      </c>
      <c r="L13" s="31">
        <f>ROUND(G13*H13,2)</f>
        <v>0</v>
      </c>
      <c r="M13" s="31">
        <f>L13*(1+BW13/100)</f>
        <v>0</v>
      </c>
      <c r="N13" s="31">
        <v>1.0970899999999999</v>
      </c>
      <c r="O13" s="31">
        <f>G13*N13</f>
        <v>0.26356490159999996</v>
      </c>
      <c r="P13" s="33" t="s">
        <v>61</v>
      </c>
      <c r="Z13" s="31">
        <f>ROUND(IF(AQ13="5",BJ13,0),2)</f>
        <v>0</v>
      </c>
      <c r="AB13" s="31">
        <f>ROUND(IF(AQ13="1",BH13,0),2)</f>
        <v>0</v>
      </c>
      <c r="AC13" s="31">
        <f>ROUND(IF(AQ13="1",BI13,0),2)</f>
        <v>0</v>
      </c>
      <c r="AD13" s="31">
        <f>ROUND(IF(AQ13="7",BH13,0),2)</f>
        <v>0</v>
      </c>
      <c r="AE13" s="31">
        <f>ROUND(IF(AQ13="7",BI13,0),2)</f>
        <v>0</v>
      </c>
      <c r="AF13" s="31">
        <f>ROUND(IF(AQ13="2",BH13,0),2)</f>
        <v>0</v>
      </c>
      <c r="AG13" s="31">
        <f>ROUND(IF(AQ13="2",BI13,0),2)</f>
        <v>0</v>
      </c>
      <c r="AH13" s="31">
        <f>ROUND(IF(AQ13="0",BJ13,0),2)</f>
        <v>0</v>
      </c>
      <c r="AI13" s="12" t="s">
        <v>54</v>
      </c>
      <c r="AJ13" s="31">
        <f>IF(AN13=0,L13,0)</f>
        <v>0</v>
      </c>
      <c r="AK13" s="31">
        <f>IF(AN13=12,L13,0)</f>
        <v>0</v>
      </c>
      <c r="AL13" s="31">
        <f>IF(AN13=21,L13,0)</f>
        <v>0</v>
      </c>
      <c r="AN13" s="31">
        <v>21</v>
      </c>
      <c r="AO13" s="31">
        <f>H13*0.734387652</f>
        <v>0</v>
      </c>
      <c r="AP13" s="31">
        <f>H13*(1-0.734387652)</f>
        <v>0</v>
      </c>
      <c r="AQ13" s="34" t="s">
        <v>57</v>
      </c>
      <c r="AV13" s="31">
        <f>ROUND(AW13+AX13,2)</f>
        <v>0</v>
      </c>
      <c r="AW13" s="31">
        <f>ROUND(G13*AO13,2)</f>
        <v>0</v>
      </c>
      <c r="AX13" s="31">
        <f>ROUND(G13*AP13,2)</f>
        <v>0</v>
      </c>
      <c r="AY13" s="34" t="s">
        <v>62</v>
      </c>
      <c r="AZ13" s="34" t="s">
        <v>63</v>
      </c>
      <c r="BA13" s="12" t="s">
        <v>64</v>
      </c>
      <c r="BC13" s="31">
        <f>AW13+AX13</f>
        <v>0</v>
      </c>
      <c r="BD13" s="31">
        <f>H13/(100-BE13)*100</f>
        <v>0</v>
      </c>
      <c r="BE13" s="31">
        <v>0</v>
      </c>
      <c r="BF13" s="31">
        <f>O13</f>
        <v>0.26356490159999996</v>
      </c>
      <c r="BH13" s="31">
        <f>G13*AO13</f>
        <v>0</v>
      </c>
      <c r="BI13" s="31">
        <f>G13*AP13</f>
        <v>0</v>
      </c>
      <c r="BJ13" s="31">
        <f>G13*H13</f>
        <v>0</v>
      </c>
      <c r="BK13" s="34" t="s">
        <v>65</v>
      </c>
      <c r="BL13" s="31">
        <v>31</v>
      </c>
      <c r="BW13" s="31">
        <f>I13</f>
        <v>21</v>
      </c>
      <c r="BX13" s="4" t="s">
        <v>59</v>
      </c>
    </row>
    <row r="14" spans="1:76">
      <c r="A14" s="35"/>
      <c r="D14" s="128" t="s">
        <v>462</v>
      </c>
      <c r="E14" s="36" t="s">
        <v>54</v>
      </c>
      <c r="G14" s="37">
        <v>0.24023999999999998</v>
      </c>
      <c r="P14" s="38"/>
    </row>
    <row r="15" spans="1:76">
      <c r="A15" s="39" t="s">
        <v>54</v>
      </c>
      <c r="B15" s="40" t="s">
        <v>54</v>
      </c>
      <c r="C15" s="40" t="s">
        <v>66</v>
      </c>
      <c r="D15" s="246" t="s">
        <v>67</v>
      </c>
      <c r="E15" s="247"/>
      <c r="F15" s="41" t="s">
        <v>4</v>
      </c>
      <c r="G15" s="41" t="s">
        <v>4</v>
      </c>
      <c r="H15" s="41" t="s">
        <v>4</v>
      </c>
      <c r="I15" s="41" t="s">
        <v>4</v>
      </c>
      <c r="J15" s="1">
        <f>SUM(J16:J16)</f>
        <v>0</v>
      </c>
      <c r="K15" s="1">
        <f>SUM(K16:K16)</f>
        <v>0</v>
      </c>
      <c r="L15" s="1">
        <f>SUM(L16:L16)</f>
        <v>0</v>
      </c>
      <c r="M15" s="1">
        <f>SUM(M16:M16)</f>
        <v>0</v>
      </c>
      <c r="N15" s="12" t="s">
        <v>54</v>
      </c>
      <c r="O15" s="1">
        <f>SUM(O16:O16)</f>
        <v>0.40964</v>
      </c>
      <c r="P15" s="42" t="s">
        <v>54</v>
      </c>
      <c r="AI15" s="12" t="s">
        <v>54</v>
      </c>
      <c r="AS15" s="1">
        <f>SUM(AJ16:AJ16)</f>
        <v>0</v>
      </c>
      <c r="AT15" s="1">
        <f>SUM(AK16:AK16)</f>
        <v>0</v>
      </c>
      <c r="AU15" s="1">
        <f>SUM(AL16:AL16)</f>
        <v>0</v>
      </c>
    </row>
    <row r="16" spans="1:76">
      <c r="A16" s="2">
        <f>A13+1</f>
        <v>2</v>
      </c>
      <c r="B16" s="3" t="s">
        <v>54</v>
      </c>
      <c r="C16" s="3" t="s">
        <v>69</v>
      </c>
      <c r="D16" s="199" t="s">
        <v>70</v>
      </c>
      <c r="E16" s="200"/>
      <c r="F16" s="3" t="s">
        <v>71</v>
      </c>
      <c r="G16" s="31">
        <v>19</v>
      </c>
      <c r="H16" s="31">
        <v>0</v>
      </c>
      <c r="I16" s="32">
        <v>21</v>
      </c>
      <c r="J16" s="31">
        <f>ROUND(G16*AO16,2)</f>
        <v>0</v>
      </c>
      <c r="K16" s="31">
        <f>ROUND(G16*AP16,2)</f>
        <v>0</v>
      </c>
      <c r="L16" s="31">
        <f>ROUND(G16*H16,2)</f>
        <v>0</v>
      </c>
      <c r="M16" s="31">
        <f>L16*(1+BW16/100)</f>
        <v>0</v>
      </c>
      <c r="N16" s="31">
        <v>2.1559999999999999E-2</v>
      </c>
      <c r="O16" s="31">
        <f>G16*N16</f>
        <v>0.40964</v>
      </c>
      <c r="P16" s="33" t="s">
        <v>61</v>
      </c>
      <c r="Z16" s="31">
        <f>ROUND(IF(AQ16="5",BJ16,0),2)</f>
        <v>0</v>
      </c>
      <c r="AB16" s="31">
        <f>ROUND(IF(AQ16="1",BH16,0),2)</f>
        <v>0</v>
      </c>
      <c r="AC16" s="31">
        <f>ROUND(IF(AQ16="1",BI16,0),2)</f>
        <v>0</v>
      </c>
      <c r="AD16" s="31">
        <f>ROUND(IF(AQ16="7",BH16,0),2)</f>
        <v>0</v>
      </c>
      <c r="AE16" s="31">
        <f>ROUND(IF(AQ16="7",BI16,0),2)</f>
        <v>0</v>
      </c>
      <c r="AF16" s="31">
        <f>ROUND(IF(AQ16="2",BH16,0),2)</f>
        <v>0</v>
      </c>
      <c r="AG16" s="31">
        <f>ROUND(IF(AQ16="2",BI16,0),2)</f>
        <v>0</v>
      </c>
      <c r="AH16" s="31">
        <f>ROUND(IF(AQ16="0",BJ16,0),2)</f>
        <v>0</v>
      </c>
      <c r="AI16" s="12" t="s">
        <v>54</v>
      </c>
      <c r="AJ16" s="31">
        <f>IF(AN16=0,L16,0)</f>
        <v>0</v>
      </c>
      <c r="AK16" s="31">
        <f>IF(AN16=12,L16,0)</f>
        <v>0</v>
      </c>
      <c r="AL16" s="31">
        <f>IF(AN16=21,L16,0)</f>
        <v>0</v>
      </c>
      <c r="AN16" s="31">
        <v>21</v>
      </c>
      <c r="AO16" s="31">
        <f>H16*0.38462963</f>
        <v>0</v>
      </c>
      <c r="AP16" s="31">
        <f>H16*(1-0.38462963)</f>
        <v>0</v>
      </c>
      <c r="AQ16" s="34" t="s">
        <v>57</v>
      </c>
      <c r="AV16" s="31">
        <f>ROUND(AW16+AX16,2)</f>
        <v>0</v>
      </c>
      <c r="AW16" s="31">
        <f>ROUND(G16*AO16,2)</f>
        <v>0</v>
      </c>
      <c r="AX16" s="31">
        <f>ROUND(G16*AP16,2)</f>
        <v>0</v>
      </c>
      <c r="AY16" s="34" t="s">
        <v>72</v>
      </c>
      <c r="AZ16" s="34" t="s">
        <v>73</v>
      </c>
      <c r="BA16" s="12" t="s">
        <v>64</v>
      </c>
      <c r="BC16" s="31">
        <f>AW16+AX16</f>
        <v>0</v>
      </c>
      <c r="BD16" s="31">
        <f>H16/(100-BE16)*100</f>
        <v>0</v>
      </c>
      <c r="BE16" s="31">
        <v>0</v>
      </c>
      <c r="BF16" s="31">
        <f>O16</f>
        <v>0.40964</v>
      </c>
      <c r="BH16" s="31">
        <f>G16*AO16</f>
        <v>0</v>
      </c>
      <c r="BI16" s="31">
        <f>G16*AP16</f>
        <v>0</v>
      </c>
      <c r="BJ16" s="31">
        <f>G16*H16</f>
        <v>0</v>
      </c>
      <c r="BK16" s="34" t="s">
        <v>65</v>
      </c>
      <c r="BL16" s="31">
        <v>41</v>
      </c>
      <c r="BW16" s="31">
        <f>I16</f>
        <v>21</v>
      </c>
      <c r="BX16" s="4" t="s">
        <v>70</v>
      </c>
    </row>
    <row r="17" spans="1:76">
      <c r="A17" s="35"/>
      <c r="D17" s="36" t="s">
        <v>74</v>
      </c>
      <c r="E17" s="36" t="s">
        <v>54</v>
      </c>
      <c r="G17" s="37">
        <v>4</v>
      </c>
      <c r="P17" s="38"/>
    </row>
    <row r="18" spans="1:76">
      <c r="A18" s="35"/>
      <c r="D18" s="128" t="s">
        <v>463</v>
      </c>
      <c r="E18" s="36" t="s">
        <v>54</v>
      </c>
      <c r="G18" s="37">
        <v>15</v>
      </c>
      <c r="P18" s="38"/>
    </row>
    <row r="19" spans="1:76">
      <c r="A19" s="39" t="s">
        <v>54</v>
      </c>
      <c r="B19" s="40" t="s">
        <v>54</v>
      </c>
      <c r="C19" s="40" t="s">
        <v>75</v>
      </c>
      <c r="D19" s="246" t="s">
        <v>76</v>
      </c>
      <c r="E19" s="247"/>
      <c r="F19" s="41" t="s">
        <v>4</v>
      </c>
      <c r="G19" s="41" t="s">
        <v>4</v>
      </c>
      <c r="H19" s="41" t="s">
        <v>4</v>
      </c>
      <c r="I19" s="41" t="s">
        <v>4</v>
      </c>
      <c r="J19" s="1">
        <f>SUM(J20:J47)</f>
        <v>0</v>
      </c>
      <c r="K19" s="1">
        <f>SUM(K20:K47)</f>
        <v>0</v>
      </c>
      <c r="L19" s="1">
        <f>SUM(L20:L47)</f>
        <v>0</v>
      </c>
      <c r="M19" s="1">
        <f>SUM(M20:M47)</f>
        <v>0</v>
      </c>
      <c r="N19" s="12" t="s">
        <v>54</v>
      </c>
      <c r="O19" s="1">
        <f>SUM(O20:O47)</f>
        <v>4.2525176131000002</v>
      </c>
      <c r="P19" s="42" t="s">
        <v>54</v>
      </c>
      <c r="AI19" s="12" t="s">
        <v>54</v>
      </c>
      <c r="AS19" s="1">
        <f>SUM(AJ20:AJ47)</f>
        <v>0</v>
      </c>
      <c r="AT19" s="1">
        <f>SUM(AK20:AK47)</f>
        <v>0</v>
      </c>
      <c r="AU19" s="1">
        <f>SUM(AL20:AL47)</f>
        <v>0</v>
      </c>
    </row>
    <row r="20" spans="1:76">
      <c r="A20" s="2">
        <f>A16+1</f>
        <v>3</v>
      </c>
      <c r="B20" s="3" t="s">
        <v>54</v>
      </c>
      <c r="C20" s="3" t="s">
        <v>77</v>
      </c>
      <c r="D20" s="199" t="s">
        <v>78</v>
      </c>
      <c r="E20" s="200"/>
      <c r="F20" s="87" t="s">
        <v>79</v>
      </c>
      <c r="G20" s="31">
        <v>432.50478000000004</v>
      </c>
      <c r="H20" s="31">
        <v>0</v>
      </c>
      <c r="I20" s="32">
        <v>21</v>
      </c>
      <c r="J20" s="31">
        <f>ROUND(G20*AO20,2)</f>
        <v>0</v>
      </c>
      <c r="K20" s="31">
        <f>ROUND(G20*AP20,2)</f>
        <v>0</v>
      </c>
      <c r="L20" s="31">
        <f>ROUND(G20*H20,2)</f>
        <v>0</v>
      </c>
      <c r="M20" s="31">
        <f>L20*(1+BW20/100)</f>
        <v>0</v>
      </c>
      <c r="N20" s="31">
        <v>5.1000000000000004E-3</v>
      </c>
      <c r="O20" s="31">
        <f>G20*N20</f>
        <v>2.2057743780000005</v>
      </c>
      <c r="P20" s="33" t="s">
        <v>61</v>
      </c>
      <c r="Z20" s="31">
        <f>ROUND(IF(AQ20="5",BJ20,0),2)</f>
        <v>0</v>
      </c>
      <c r="AB20" s="31">
        <f>ROUND(IF(AQ20="1",BH20,0),2)</f>
        <v>0</v>
      </c>
      <c r="AC20" s="31">
        <f>ROUND(IF(AQ20="1",BI20,0),2)</f>
        <v>0</v>
      </c>
      <c r="AD20" s="31">
        <f>ROUND(IF(AQ20="7",BH20,0),2)</f>
        <v>0</v>
      </c>
      <c r="AE20" s="31">
        <f>ROUND(IF(AQ20="7",BI20,0),2)</f>
        <v>0</v>
      </c>
      <c r="AF20" s="31">
        <f>ROUND(IF(AQ20="2",BH20,0),2)</f>
        <v>0</v>
      </c>
      <c r="AG20" s="31">
        <f>ROUND(IF(AQ20="2",BI20,0),2)</f>
        <v>0</v>
      </c>
      <c r="AH20" s="31">
        <f>ROUND(IF(AQ20="0",BJ20,0),2)</f>
        <v>0</v>
      </c>
      <c r="AI20" s="12" t="s">
        <v>54</v>
      </c>
      <c r="AJ20" s="31">
        <f>IF(AN20=0,L20,0)</f>
        <v>0</v>
      </c>
      <c r="AK20" s="31">
        <f>IF(AN20=12,L20,0)</f>
        <v>0</v>
      </c>
      <c r="AL20" s="31">
        <f>IF(AN20=21,L20,0)</f>
        <v>0</v>
      </c>
      <c r="AN20" s="31">
        <v>21</v>
      </c>
      <c r="AO20" s="31">
        <f>H20*0</f>
        <v>0</v>
      </c>
      <c r="AP20" s="31">
        <f>H20*(1-0)</f>
        <v>0</v>
      </c>
      <c r="AQ20" s="34" t="s">
        <v>80</v>
      </c>
      <c r="AV20" s="31">
        <f>ROUND(AW20+AX20,2)</f>
        <v>0</v>
      </c>
      <c r="AW20" s="31">
        <f>ROUND(G20*AO20,2)</f>
        <v>0</v>
      </c>
      <c r="AX20" s="31">
        <f>ROUND(G20*AP20,2)</f>
        <v>0</v>
      </c>
      <c r="AY20" s="34" t="s">
        <v>81</v>
      </c>
      <c r="AZ20" s="34" t="s">
        <v>82</v>
      </c>
      <c r="BA20" s="12" t="s">
        <v>64</v>
      </c>
      <c r="BC20" s="31">
        <f>AW20+AX20</f>
        <v>0</v>
      </c>
      <c r="BD20" s="31">
        <f>H20/(100-BE20)*100</f>
        <v>0</v>
      </c>
      <c r="BE20" s="31">
        <v>0</v>
      </c>
      <c r="BF20" s="31">
        <f>O20</f>
        <v>2.2057743780000005</v>
      </c>
      <c r="BH20" s="31">
        <f>G20*AO20</f>
        <v>0</v>
      </c>
      <c r="BI20" s="31">
        <f>G20*AP20</f>
        <v>0</v>
      </c>
      <c r="BJ20" s="31">
        <f>G20*H20</f>
        <v>0</v>
      </c>
      <c r="BK20" s="34" t="s">
        <v>65</v>
      </c>
      <c r="BL20" s="31">
        <v>713</v>
      </c>
      <c r="BW20" s="31">
        <f>I20</f>
        <v>21</v>
      </c>
      <c r="BX20" s="4" t="s">
        <v>78</v>
      </c>
    </row>
    <row r="21" spans="1:76">
      <c r="A21" s="35"/>
      <c r="D21" s="36" t="s">
        <v>83</v>
      </c>
      <c r="E21" s="36" t="s">
        <v>54</v>
      </c>
      <c r="F21" s="150"/>
      <c r="G21" s="37">
        <v>418.91800000000001</v>
      </c>
      <c r="H21" s="150"/>
      <c r="P21" s="38"/>
    </row>
    <row r="22" spans="1:76">
      <c r="A22" s="35"/>
      <c r="D22" s="128" t="s">
        <v>449</v>
      </c>
      <c r="E22" s="36" t="s">
        <v>54</v>
      </c>
      <c r="F22" s="150"/>
      <c r="G22" s="37">
        <v>4.3237800000000002</v>
      </c>
      <c r="H22" s="150"/>
      <c r="P22" s="38"/>
    </row>
    <row r="23" spans="1:76">
      <c r="A23" s="35"/>
      <c r="D23" s="36" t="s">
        <v>84</v>
      </c>
      <c r="E23" s="36" t="s">
        <v>54</v>
      </c>
      <c r="F23" s="150"/>
      <c r="G23" s="37">
        <v>8.7609999999999992</v>
      </c>
      <c r="H23" s="150"/>
      <c r="P23" s="38"/>
    </row>
    <row r="24" spans="1:76">
      <c r="A24" s="35"/>
      <c r="D24" s="36" t="s">
        <v>85</v>
      </c>
      <c r="E24" s="36" t="s">
        <v>54</v>
      </c>
      <c r="F24" s="150"/>
      <c r="G24" s="37">
        <v>0.502</v>
      </c>
      <c r="H24" s="150"/>
      <c r="P24" s="38"/>
    </row>
    <row r="25" spans="1:76">
      <c r="A25" s="2">
        <f>A20+1</f>
        <v>4</v>
      </c>
      <c r="B25" s="3" t="s">
        <v>54</v>
      </c>
      <c r="C25" s="3" t="s">
        <v>86</v>
      </c>
      <c r="D25" s="199" t="s">
        <v>87</v>
      </c>
      <c r="E25" s="200"/>
      <c r="F25" s="87" t="s">
        <v>79</v>
      </c>
      <c r="G25" s="31">
        <v>432.50531100000006</v>
      </c>
      <c r="H25" s="31">
        <v>0</v>
      </c>
      <c r="I25" s="32">
        <v>21</v>
      </c>
      <c r="J25" s="31">
        <f>ROUND(G25*AO25,2)</f>
        <v>0</v>
      </c>
      <c r="K25" s="31">
        <f>ROUND(G25*AP25,2)</f>
        <v>0</v>
      </c>
      <c r="L25" s="31">
        <f>ROUND(G25*H25,2)</f>
        <v>0</v>
      </c>
      <c r="M25" s="31">
        <f>L25*(1+BW25/100)</f>
        <v>0</v>
      </c>
      <c r="N25" s="31">
        <v>2.0999999999999999E-3</v>
      </c>
      <c r="O25" s="31">
        <f>G25*N25</f>
        <v>0.90826115310000011</v>
      </c>
      <c r="P25" s="33" t="s">
        <v>61</v>
      </c>
      <c r="Z25" s="31">
        <f>ROUND(IF(AQ25="5",BJ25,0),2)</f>
        <v>0</v>
      </c>
      <c r="AB25" s="31">
        <f>ROUND(IF(AQ25="1",BH25,0),2)</f>
        <v>0</v>
      </c>
      <c r="AC25" s="31">
        <f>ROUND(IF(AQ25="1",BI25,0),2)</f>
        <v>0</v>
      </c>
      <c r="AD25" s="31">
        <f>ROUND(IF(AQ25="7",BH25,0),2)</f>
        <v>0</v>
      </c>
      <c r="AE25" s="31">
        <f>ROUND(IF(AQ25="7",BI25,0),2)</f>
        <v>0</v>
      </c>
      <c r="AF25" s="31">
        <f>ROUND(IF(AQ25="2",BH25,0),2)</f>
        <v>0</v>
      </c>
      <c r="AG25" s="31">
        <f>ROUND(IF(AQ25="2",BI25,0),2)</f>
        <v>0</v>
      </c>
      <c r="AH25" s="31">
        <f>ROUND(IF(AQ25="0",BJ25,0),2)</f>
        <v>0</v>
      </c>
      <c r="AI25" s="12" t="s">
        <v>54</v>
      </c>
      <c r="AJ25" s="31">
        <f>IF(AN25=0,L25,0)</f>
        <v>0</v>
      </c>
      <c r="AK25" s="31">
        <f>IF(AN25=12,L25,0)</f>
        <v>0</v>
      </c>
      <c r="AL25" s="31">
        <f>IF(AN25=21,L25,0)</f>
        <v>0</v>
      </c>
      <c r="AN25" s="31">
        <v>21</v>
      </c>
      <c r="AO25" s="31">
        <f>H25*0</f>
        <v>0</v>
      </c>
      <c r="AP25" s="31">
        <f>H25*(1-0)</f>
        <v>0</v>
      </c>
      <c r="AQ25" s="34" t="s">
        <v>80</v>
      </c>
      <c r="AV25" s="31">
        <f>ROUND(AW25+AX25,2)</f>
        <v>0</v>
      </c>
      <c r="AW25" s="31">
        <f>ROUND(G25*AO25,2)</f>
        <v>0</v>
      </c>
      <c r="AX25" s="31">
        <f>ROUND(G25*AP25,2)</f>
        <v>0</v>
      </c>
      <c r="AY25" s="34" t="s">
        <v>81</v>
      </c>
      <c r="AZ25" s="34" t="s">
        <v>82</v>
      </c>
      <c r="BA25" s="12" t="s">
        <v>64</v>
      </c>
      <c r="BC25" s="31">
        <f>AW25+AX25</f>
        <v>0</v>
      </c>
      <c r="BD25" s="31">
        <f>H25/(100-BE25)*100</f>
        <v>0</v>
      </c>
      <c r="BE25" s="31">
        <v>0</v>
      </c>
      <c r="BF25" s="31">
        <f>O25</f>
        <v>0.90826115310000011</v>
      </c>
      <c r="BH25" s="31">
        <f>G25*AO25</f>
        <v>0</v>
      </c>
      <c r="BI25" s="31">
        <f>G25*AP25</f>
        <v>0</v>
      </c>
      <c r="BJ25" s="31">
        <f>G25*H25</f>
        <v>0</v>
      </c>
      <c r="BK25" s="34" t="s">
        <v>65</v>
      </c>
      <c r="BL25" s="31">
        <v>713</v>
      </c>
      <c r="BW25" s="31">
        <f>I25</f>
        <v>21</v>
      </c>
      <c r="BX25" s="4" t="s">
        <v>87</v>
      </c>
    </row>
    <row r="26" spans="1:76">
      <c r="A26" s="35"/>
      <c r="D26" s="128" t="s">
        <v>450</v>
      </c>
      <c r="E26" s="36" t="s">
        <v>54</v>
      </c>
      <c r="F26" s="150"/>
      <c r="G26" s="37">
        <v>418.91831100000002</v>
      </c>
      <c r="H26" s="150"/>
      <c r="P26" s="38"/>
    </row>
    <row r="27" spans="1:76">
      <c r="A27" s="35"/>
      <c r="D27" s="36" t="s">
        <v>88</v>
      </c>
      <c r="E27" s="36" t="s">
        <v>54</v>
      </c>
      <c r="F27" s="150"/>
      <c r="G27" s="37">
        <v>4.3239999999999998</v>
      </c>
      <c r="H27" s="150"/>
      <c r="P27" s="38"/>
    </row>
    <row r="28" spans="1:76">
      <c r="A28" s="35"/>
      <c r="D28" s="36" t="s">
        <v>89</v>
      </c>
      <c r="E28" s="36" t="s">
        <v>54</v>
      </c>
      <c r="F28" s="150"/>
      <c r="G28" s="37">
        <v>8.7609999999999992</v>
      </c>
      <c r="H28" s="150"/>
      <c r="P28" s="38"/>
    </row>
    <row r="29" spans="1:76">
      <c r="A29" s="35"/>
      <c r="D29" s="36" t="s">
        <v>85</v>
      </c>
      <c r="E29" s="36" t="s">
        <v>54</v>
      </c>
      <c r="F29" s="150"/>
      <c r="G29" s="37">
        <v>0.502</v>
      </c>
      <c r="H29" s="150"/>
      <c r="P29" s="38"/>
    </row>
    <row r="30" spans="1:76">
      <c r="A30" s="86">
        <f>A25+1</f>
        <v>5</v>
      </c>
      <c r="B30" s="3" t="s">
        <v>54</v>
      </c>
      <c r="C30" s="3" t="s">
        <v>91</v>
      </c>
      <c r="D30" s="199" t="s">
        <v>92</v>
      </c>
      <c r="E30" s="200"/>
      <c r="F30" s="87" t="s">
        <v>79</v>
      </c>
      <c r="G30" s="31">
        <v>190.49047999999999</v>
      </c>
      <c r="H30" s="31">
        <v>0</v>
      </c>
      <c r="I30" s="32">
        <v>21</v>
      </c>
      <c r="J30" s="31">
        <f>ROUND(G30*AO30,2)</f>
        <v>0</v>
      </c>
      <c r="K30" s="31">
        <f>ROUND(G30*AP30,2)</f>
        <v>0</v>
      </c>
      <c r="L30" s="31">
        <f>ROUND(G30*H30,2)</f>
        <v>0</v>
      </c>
      <c r="M30" s="31">
        <f>L30*(1+BW30/100)</f>
        <v>0</v>
      </c>
      <c r="N30" s="31">
        <v>6.2E-4</v>
      </c>
      <c r="O30" s="31">
        <f>G30*N30</f>
        <v>0.1181040976</v>
      </c>
      <c r="P30" s="33" t="s">
        <v>61</v>
      </c>
      <c r="Z30" s="31">
        <f>ROUND(IF(AQ30="5",BJ30,0),2)</f>
        <v>0</v>
      </c>
      <c r="AB30" s="31">
        <f>ROUND(IF(AQ30="1",BH30,0),2)</f>
        <v>0</v>
      </c>
      <c r="AC30" s="31">
        <f>ROUND(IF(AQ30="1",BI30,0),2)</f>
        <v>0</v>
      </c>
      <c r="AD30" s="31">
        <f>ROUND(IF(AQ30="7",BH30,0),2)</f>
        <v>0</v>
      </c>
      <c r="AE30" s="31">
        <f>ROUND(IF(AQ30="7",BI30,0),2)</f>
        <v>0</v>
      </c>
      <c r="AF30" s="31">
        <f>ROUND(IF(AQ30="2",BH30,0),2)</f>
        <v>0</v>
      </c>
      <c r="AG30" s="31">
        <f>ROUND(IF(AQ30="2",BI30,0),2)</f>
        <v>0</v>
      </c>
      <c r="AH30" s="31">
        <f>ROUND(IF(AQ30="0",BJ30,0),2)</f>
        <v>0</v>
      </c>
      <c r="AI30" s="12" t="s">
        <v>54</v>
      </c>
      <c r="AJ30" s="31">
        <f>IF(AN30=0,L30,0)</f>
        <v>0</v>
      </c>
      <c r="AK30" s="31">
        <f>IF(AN30=12,L30,0)</f>
        <v>0</v>
      </c>
      <c r="AL30" s="31">
        <f>IF(AN30=21,L30,0)</f>
        <v>0</v>
      </c>
      <c r="AN30" s="31">
        <v>21</v>
      </c>
      <c r="AO30" s="31">
        <f>H30*0.087777803</f>
        <v>0</v>
      </c>
      <c r="AP30" s="31">
        <f>H30*(1-0.087777803)</f>
        <v>0</v>
      </c>
      <c r="AQ30" s="34" t="s">
        <v>80</v>
      </c>
      <c r="AV30" s="31">
        <f>ROUND(AW30+AX30,2)</f>
        <v>0</v>
      </c>
      <c r="AW30" s="31">
        <f>ROUND(G30*AO30,2)</f>
        <v>0</v>
      </c>
      <c r="AX30" s="31">
        <f>ROUND(G30*AP30,2)</f>
        <v>0</v>
      </c>
      <c r="AY30" s="34" t="s">
        <v>81</v>
      </c>
      <c r="AZ30" s="34" t="s">
        <v>82</v>
      </c>
      <c r="BA30" s="12" t="s">
        <v>64</v>
      </c>
      <c r="BC30" s="31">
        <f>AW30+AX30</f>
        <v>0</v>
      </c>
      <c r="BD30" s="31">
        <f>H30/(100-BE30)*100</f>
        <v>0</v>
      </c>
      <c r="BE30" s="31">
        <v>0</v>
      </c>
      <c r="BF30" s="31">
        <f>O30</f>
        <v>0.1181040976</v>
      </c>
      <c r="BH30" s="31">
        <f>G30*AO30</f>
        <v>0</v>
      </c>
      <c r="BI30" s="31">
        <f>G30*AP30</f>
        <v>0</v>
      </c>
      <c r="BJ30" s="31">
        <f>G30*H30</f>
        <v>0</v>
      </c>
      <c r="BK30" s="34" t="s">
        <v>65</v>
      </c>
      <c r="BL30" s="31">
        <v>713</v>
      </c>
      <c r="BW30" s="31">
        <f>I30</f>
        <v>21</v>
      </c>
      <c r="BX30" s="4" t="s">
        <v>92</v>
      </c>
    </row>
    <row r="31" spans="1:76">
      <c r="A31" s="35"/>
      <c r="D31" s="36" t="s">
        <v>93</v>
      </c>
      <c r="E31" s="36" t="s">
        <v>54</v>
      </c>
      <c r="F31" s="150"/>
      <c r="G31" s="37">
        <v>180.46799999999999</v>
      </c>
      <c r="H31" s="150"/>
      <c r="P31" s="38"/>
    </row>
    <row r="32" spans="1:76">
      <c r="A32" s="35"/>
      <c r="D32" s="36" t="s">
        <v>94</v>
      </c>
      <c r="E32" s="36" t="s">
        <v>54</v>
      </c>
      <c r="F32" s="150"/>
      <c r="G32" s="37">
        <v>3.0139999999999998</v>
      </c>
      <c r="H32" s="150"/>
      <c r="P32" s="38"/>
    </row>
    <row r="33" spans="1:76">
      <c r="A33" s="35"/>
      <c r="D33" s="128" t="s">
        <v>451</v>
      </c>
      <c r="E33" s="36" t="s">
        <v>54</v>
      </c>
      <c r="F33" s="150"/>
      <c r="G33" s="37">
        <v>4.1259600000000001</v>
      </c>
      <c r="H33" s="150"/>
      <c r="P33" s="38"/>
    </row>
    <row r="34" spans="1:76">
      <c r="A34" s="35"/>
      <c r="D34" s="128" t="s">
        <v>95</v>
      </c>
      <c r="E34" s="36" t="s">
        <v>54</v>
      </c>
      <c r="F34" s="150"/>
      <c r="G34" s="37">
        <v>2.88252</v>
      </c>
      <c r="H34" s="150"/>
      <c r="P34" s="38"/>
    </row>
    <row r="35" spans="1:76">
      <c r="A35" s="86">
        <f>A30+1</f>
        <v>6</v>
      </c>
      <c r="B35" s="3" t="s">
        <v>54</v>
      </c>
      <c r="C35" s="3" t="s">
        <v>96</v>
      </c>
      <c r="D35" s="199" t="s">
        <v>97</v>
      </c>
      <c r="E35" s="200"/>
      <c r="F35" s="87" t="s">
        <v>79</v>
      </c>
      <c r="G35" s="31">
        <v>157.267</v>
      </c>
      <c r="H35" s="31">
        <v>0</v>
      </c>
      <c r="I35" s="32">
        <v>21</v>
      </c>
      <c r="J35" s="31">
        <f>ROUND(G35*AO35,2)</f>
        <v>0</v>
      </c>
      <c r="K35" s="31">
        <f>ROUND(G35*AP35,2)</f>
        <v>0</v>
      </c>
      <c r="L35" s="31">
        <f>ROUND(G35*H35,2)</f>
        <v>0</v>
      </c>
      <c r="M35" s="31">
        <f>L35*(1+BW35/100)</f>
        <v>0</v>
      </c>
      <c r="N35" s="31">
        <v>6.3E-3</v>
      </c>
      <c r="O35" s="31">
        <f>G35*N35</f>
        <v>0.9907821</v>
      </c>
      <c r="P35" s="33" t="s">
        <v>61</v>
      </c>
      <c r="Z35" s="31">
        <f>ROUND(IF(AQ35="5",BJ35,0),2)</f>
        <v>0</v>
      </c>
      <c r="AB35" s="31">
        <f>ROUND(IF(AQ35="1",BH35,0),2)</f>
        <v>0</v>
      </c>
      <c r="AC35" s="31">
        <f>ROUND(IF(AQ35="1",BI35,0),2)</f>
        <v>0</v>
      </c>
      <c r="AD35" s="31">
        <f>ROUND(IF(AQ35="7",BH35,0),2)</f>
        <v>0</v>
      </c>
      <c r="AE35" s="31">
        <f>ROUND(IF(AQ35="7",BI35,0),2)</f>
        <v>0</v>
      </c>
      <c r="AF35" s="31">
        <f>ROUND(IF(AQ35="2",BH35,0),2)</f>
        <v>0</v>
      </c>
      <c r="AG35" s="31">
        <f>ROUND(IF(AQ35="2",BI35,0),2)</f>
        <v>0</v>
      </c>
      <c r="AH35" s="31">
        <f>ROUND(IF(AQ35="0",BJ35,0),2)</f>
        <v>0</v>
      </c>
      <c r="AI35" s="12" t="s">
        <v>54</v>
      </c>
      <c r="AJ35" s="31">
        <f>IF(AN35=0,L35,0)</f>
        <v>0</v>
      </c>
      <c r="AK35" s="31">
        <f>IF(AN35=12,L35,0)</f>
        <v>0</v>
      </c>
      <c r="AL35" s="31">
        <f>IF(AN35=21,L35,0)</f>
        <v>0</v>
      </c>
      <c r="AN35" s="31">
        <v>21</v>
      </c>
      <c r="AO35" s="31">
        <f>H35*1</f>
        <v>0</v>
      </c>
      <c r="AP35" s="31">
        <f>H35*(1-1)</f>
        <v>0</v>
      </c>
      <c r="AQ35" s="34" t="s">
        <v>80</v>
      </c>
      <c r="AV35" s="31">
        <f>ROUND(AW35+AX35,2)</f>
        <v>0</v>
      </c>
      <c r="AW35" s="31">
        <f>ROUND(G35*AO35,2)</f>
        <v>0</v>
      </c>
      <c r="AX35" s="31">
        <f>ROUND(G35*AP35,2)</f>
        <v>0</v>
      </c>
      <c r="AY35" s="34" t="s">
        <v>81</v>
      </c>
      <c r="AZ35" s="34" t="s">
        <v>82</v>
      </c>
      <c r="BA35" s="12" t="s">
        <v>64</v>
      </c>
      <c r="BC35" s="31">
        <f>AW35+AX35</f>
        <v>0</v>
      </c>
      <c r="BD35" s="31">
        <f>H35/(100-BE35)*100</f>
        <v>0</v>
      </c>
      <c r="BE35" s="31">
        <v>0</v>
      </c>
      <c r="BF35" s="31">
        <f>O35</f>
        <v>0.9907821</v>
      </c>
      <c r="BH35" s="31">
        <f>G35*AO35</f>
        <v>0</v>
      </c>
      <c r="BI35" s="31">
        <f>G35*AP35</f>
        <v>0</v>
      </c>
      <c r="BJ35" s="31">
        <f>G35*H35</f>
        <v>0</v>
      </c>
      <c r="BK35" s="34" t="s">
        <v>98</v>
      </c>
      <c r="BL35" s="31">
        <v>713</v>
      </c>
      <c r="BW35" s="31">
        <f>I35</f>
        <v>21</v>
      </c>
      <c r="BX35" s="4" t="s">
        <v>97</v>
      </c>
    </row>
    <row r="36" spans="1:76">
      <c r="A36" s="35"/>
      <c r="D36" s="36" t="s">
        <v>99</v>
      </c>
      <c r="E36" s="36" t="s">
        <v>54</v>
      </c>
      <c r="F36" s="150"/>
      <c r="G36" s="37">
        <v>142.07900000000001</v>
      </c>
      <c r="H36" s="150"/>
      <c r="P36" s="38"/>
    </row>
    <row r="37" spans="1:76" ht="25.5">
      <c r="A37" s="35"/>
      <c r="D37" s="91" t="s">
        <v>100</v>
      </c>
      <c r="E37" s="36" t="s">
        <v>54</v>
      </c>
      <c r="F37" s="150"/>
      <c r="G37" s="37">
        <v>7.1360000000000001</v>
      </c>
      <c r="H37" s="150"/>
      <c r="P37" s="38"/>
    </row>
    <row r="38" spans="1:76" ht="25.5">
      <c r="A38" s="35"/>
      <c r="D38" s="91" t="s">
        <v>101</v>
      </c>
      <c r="E38" s="36" t="s">
        <v>54</v>
      </c>
      <c r="F38" s="150"/>
      <c r="G38" s="37">
        <v>8.0519999999999996</v>
      </c>
      <c r="H38" s="150"/>
      <c r="P38" s="38"/>
    </row>
    <row r="39" spans="1:76">
      <c r="A39" s="86">
        <f>A35+1</f>
        <v>7</v>
      </c>
      <c r="B39" s="3" t="s">
        <v>54</v>
      </c>
      <c r="C39" s="3" t="s">
        <v>102</v>
      </c>
      <c r="D39" s="199" t="s">
        <v>103</v>
      </c>
      <c r="E39" s="200"/>
      <c r="F39" s="87" t="s">
        <v>79</v>
      </c>
      <c r="G39" s="31">
        <v>3.0750000000000002</v>
      </c>
      <c r="H39" s="31">
        <v>0</v>
      </c>
      <c r="I39" s="32">
        <v>21</v>
      </c>
      <c r="J39" s="31">
        <f>ROUND(G39*AO39,2)</f>
        <v>0</v>
      </c>
      <c r="K39" s="31">
        <f>ROUND(G39*AP39,2)</f>
        <v>0</v>
      </c>
      <c r="L39" s="31">
        <f>ROUND(G39*H39,2)</f>
        <v>0</v>
      </c>
      <c r="M39" s="31">
        <f>L39*(1+BW39/100)</f>
        <v>0</v>
      </c>
      <c r="N39" s="31">
        <v>4.8799999999999998E-3</v>
      </c>
      <c r="O39" s="31">
        <f>G39*N39</f>
        <v>1.5006E-2</v>
      </c>
      <c r="P39" s="33" t="s">
        <v>61</v>
      </c>
      <c r="Z39" s="31">
        <f>ROUND(IF(AQ39="5",BJ39,0),2)</f>
        <v>0</v>
      </c>
      <c r="AB39" s="31">
        <f>ROUND(IF(AQ39="1",BH39,0),2)</f>
        <v>0</v>
      </c>
      <c r="AC39" s="31">
        <f>ROUND(IF(AQ39="1",BI39,0),2)</f>
        <v>0</v>
      </c>
      <c r="AD39" s="31">
        <f>ROUND(IF(AQ39="7",BH39,0),2)</f>
        <v>0</v>
      </c>
      <c r="AE39" s="31">
        <f>ROUND(IF(AQ39="7",BI39,0),2)</f>
        <v>0</v>
      </c>
      <c r="AF39" s="31">
        <f>ROUND(IF(AQ39="2",BH39,0),2)</f>
        <v>0</v>
      </c>
      <c r="AG39" s="31">
        <f>ROUND(IF(AQ39="2",BI39,0),2)</f>
        <v>0</v>
      </c>
      <c r="AH39" s="31">
        <f>ROUND(IF(AQ39="0",BJ39,0),2)</f>
        <v>0</v>
      </c>
      <c r="AI39" s="12" t="s">
        <v>54</v>
      </c>
      <c r="AJ39" s="31">
        <f>IF(AN39=0,L39,0)</f>
        <v>0</v>
      </c>
      <c r="AK39" s="31">
        <f>IF(AN39=12,L39,0)</f>
        <v>0</v>
      </c>
      <c r="AL39" s="31">
        <f>IF(AN39=21,L39,0)</f>
        <v>0</v>
      </c>
      <c r="AN39" s="31">
        <v>21</v>
      </c>
      <c r="AO39" s="31">
        <f>H39*1</f>
        <v>0</v>
      </c>
      <c r="AP39" s="31">
        <f>H39*(1-1)</f>
        <v>0</v>
      </c>
      <c r="AQ39" s="34" t="s">
        <v>80</v>
      </c>
      <c r="AV39" s="31">
        <f>ROUND(AW39+AX39,2)</f>
        <v>0</v>
      </c>
      <c r="AW39" s="31">
        <f>ROUND(G39*AO39,2)</f>
        <v>0</v>
      </c>
      <c r="AX39" s="31">
        <f>ROUND(G39*AP39,2)</f>
        <v>0</v>
      </c>
      <c r="AY39" s="34" t="s">
        <v>81</v>
      </c>
      <c r="AZ39" s="34" t="s">
        <v>82</v>
      </c>
      <c r="BA39" s="12" t="s">
        <v>64</v>
      </c>
      <c r="BC39" s="31">
        <f>AW39+AX39</f>
        <v>0</v>
      </c>
      <c r="BD39" s="31">
        <f>H39/(100-BE39)*100</f>
        <v>0</v>
      </c>
      <c r="BE39" s="31">
        <v>0</v>
      </c>
      <c r="BF39" s="31">
        <f>O39</f>
        <v>1.5006E-2</v>
      </c>
      <c r="BH39" s="31">
        <f>G39*AO39</f>
        <v>0</v>
      </c>
      <c r="BI39" s="31">
        <f>G39*AP39</f>
        <v>0</v>
      </c>
      <c r="BJ39" s="31">
        <f>G39*H39</f>
        <v>0</v>
      </c>
      <c r="BK39" s="34" t="s">
        <v>98</v>
      </c>
      <c r="BL39" s="31">
        <v>713</v>
      </c>
      <c r="BW39" s="31">
        <f>I39</f>
        <v>21</v>
      </c>
      <c r="BX39" s="4" t="s">
        <v>103</v>
      </c>
    </row>
    <row r="40" spans="1:76">
      <c r="A40" s="35"/>
      <c r="D40" s="36" t="s">
        <v>104</v>
      </c>
      <c r="E40" s="36" t="s">
        <v>54</v>
      </c>
      <c r="F40" s="150"/>
      <c r="G40" s="37">
        <v>3.0750000000000002</v>
      </c>
      <c r="H40" s="150"/>
      <c r="P40" s="38"/>
    </row>
    <row r="41" spans="1:76">
      <c r="A41" s="2">
        <f>A39+1</f>
        <v>8</v>
      </c>
      <c r="B41" s="3" t="s">
        <v>54</v>
      </c>
      <c r="C41" s="3" t="s">
        <v>105</v>
      </c>
      <c r="D41" s="199" t="s">
        <v>106</v>
      </c>
      <c r="E41" s="200"/>
      <c r="F41" s="87" t="s">
        <v>79</v>
      </c>
      <c r="G41" s="31">
        <v>7.2408400000000004</v>
      </c>
      <c r="H41" s="31">
        <v>0</v>
      </c>
      <c r="I41" s="32">
        <v>21</v>
      </c>
      <c r="J41" s="31">
        <f>ROUND(G41*AO41,2)</f>
        <v>0</v>
      </c>
      <c r="K41" s="31">
        <f>ROUND(G41*AP41,2)</f>
        <v>0</v>
      </c>
      <c r="L41" s="31">
        <f>ROUND(G41*H41,2)</f>
        <v>0</v>
      </c>
      <c r="M41" s="31">
        <f>L41*(1+BW41/100)</f>
        <v>0</v>
      </c>
      <c r="N41" s="31">
        <v>1.1E-4</v>
      </c>
      <c r="O41" s="31">
        <f>G41*N41</f>
        <v>7.9649240000000002E-4</v>
      </c>
      <c r="P41" s="33" t="s">
        <v>61</v>
      </c>
      <c r="Z41" s="31">
        <f>ROUND(IF(AQ41="5",BJ41,0),2)</f>
        <v>0</v>
      </c>
      <c r="AB41" s="31">
        <f>ROUND(IF(AQ41="1",BH41,0),2)</f>
        <v>0</v>
      </c>
      <c r="AC41" s="31">
        <f>ROUND(IF(AQ41="1",BI41,0),2)</f>
        <v>0</v>
      </c>
      <c r="AD41" s="31">
        <f>ROUND(IF(AQ41="7",BH41,0),2)</f>
        <v>0</v>
      </c>
      <c r="AE41" s="31">
        <f>ROUND(IF(AQ41="7",BI41,0),2)</f>
        <v>0</v>
      </c>
      <c r="AF41" s="31">
        <f>ROUND(IF(AQ41="2",BH41,0),2)</f>
        <v>0</v>
      </c>
      <c r="AG41" s="31">
        <f>ROUND(IF(AQ41="2",BI41,0),2)</f>
        <v>0</v>
      </c>
      <c r="AH41" s="31">
        <f>ROUND(IF(AQ41="0",BJ41,0),2)</f>
        <v>0</v>
      </c>
      <c r="AI41" s="12" t="s">
        <v>54</v>
      </c>
      <c r="AJ41" s="31">
        <f>IF(AN41=0,L41,0)</f>
        <v>0</v>
      </c>
      <c r="AK41" s="31">
        <f>IF(AN41=12,L41,0)</f>
        <v>0</v>
      </c>
      <c r="AL41" s="31">
        <f>IF(AN41=21,L41,0)</f>
        <v>0</v>
      </c>
      <c r="AN41" s="31">
        <v>21</v>
      </c>
      <c r="AO41" s="31">
        <f>H41*0.025231875</f>
        <v>0</v>
      </c>
      <c r="AP41" s="31">
        <f>H41*(1-0.025231875)</f>
        <v>0</v>
      </c>
      <c r="AQ41" s="34" t="s">
        <v>80</v>
      </c>
      <c r="AV41" s="31">
        <f>ROUND(AW41+AX41,2)</f>
        <v>0</v>
      </c>
      <c r="AW41" s="31">
        <f>ROUND(G41*AO41,2)</f>
        <v>0</v>
      </c>
      <c r="AX41" s="31">
        <f>ROUND(G41*AP41,2)</f>
        <v>0</v>
      </c>
      <c r="AY41" s="34" t="s">
        <v>81</v>
      </c>
      <c r="AZ41" s="34" t="s">
        <v>82</v>
      </c>
      <c r="BA41" s="12" t="s">
        <v>64</v>
      </c>
      <c r="BC41" s="31">
        <f>AW41+AX41</f>
        <v>0</v>
      </c>
      <c r="BD41" s="31">
        <f>H41/(100-BE41)*100</f>
        <v>0</v>
      </c>
      <c r="BE41" s="31">
        <v>0</v>
      </c>
      <c r="BF41" s="31">
        <f>O41</f>
        <v>7.9649240000000002E-4</v>
      </c>
      <c r="BH41" s="31">
        <f>G41*AO41</f>
        <v>0</v>
      </c>
      <c r="BI41" s="31">
        <f>G41*AP41</f>
        <v>0</v>
      </c>
      <c r="BJ41" s="31">
        <f>G41*H41</f>
        <v>0</v>
      </c>
      <c r="BK41" s="34" t="s">
        <v>65</v>
      </c>
      <c r="BL41" s="31">
        <v>713</v>
      </c>
      <c r="BW41" s="31">
        <f>I41</f>
        <v>21</v>
      </c>
      <c r="BX41" s="4" t="s">
        <v>106</v>
      </c>
    </row>
    <row r="42" spans="1:76">
      <c r="A42" s="35"/>
      <c r="D42" s="128" t="s">
        <v>446</v>
      </c>
      <c r="E42" s="36" t="s">
        <v>54</v>
      </c>
      <c r="F42" s="150"/>
      <c r="G42" s="37">
        <v>4.2327200000000005</v>
      </c>
      <c r="H42" s="150"/>
      <c r="P42" s="38"/>
    </row>
    <row r="43" spans="1:76">
      <c r="A43" s="35"/>
      <c r="D43" s="128" t="s">
        <v>447</v>
      </c>
      <c r="E43" s="36" t="s">
        <v>54</v>
      </c>
      <c r="F43" s="150"/>
      <c r="G43" s="37">
        <v>3.0081199999999999</v>
      </c>
      <c r="H43" s="150"/>
      <c r="P43" s="38"/>
    </row>
    <row r="44" spans="1:76">
      <c r="A44" s="2">
        <f>A41+1</f>
        <v>9</v>
      </c>
      <c r="B44" s="3" t="s">
        <v>54</v>
      </c>
      <c r="C44" s="3" t="s">
        <v>107</v>
      </c>
      <c r="D44" s="199" t="s">
        <v>108</v>
      </c>
      <c r="E44" s="200"/>
      <c r="F44" s="87" t="s">
        <v>109</v>
      </c>
      <c r="G44" s="31">
        <v>13.793391999999999</v>
      </c>
      <c r="H44" s="31">
        <v>0</v>
      </c>
      <c r="I44" s="32">
        <v>21</v>
      </c>
      <c r="J44" s="31">
        <f>ROUND(G44*AO44,2)</f>
        <v>0</v>
      </c>
      <c r="K44" s="31">
        <f>ROUND(G44*AP44,2)</f>
        <v>0</v>
      </c>
      <c r="L44" s="31">
        <f>ROUND(G44*H44,2)</f>
        <v>0</v>
      </c>
      <c r="M44" s="31">
        <f>L44*(1+BW44/100)</f>
        <v>0</v>
      </c>
      <c r="N44" s="31">
        <v>1E-3</v>
      </c>
      <c r="O44" s="31">
        <f>G44*N44</f>
        <v>1.3793392E-2</v>
      </c>
      <c r="P44" s="33" t="s">
        <v>61</v>
      </c>
      <c r="Z44" s="31">
        <f>ROUND(IF(AQ44="5",BJ44,0),2)</f>
        <v>0</v>
      </c>
      <c r="AB44" s="31">
        <f>ROUND(IF(AQ44="1",BH44,0),2)</f>
        <v>0</v>
      </c>
      <c r="AC44" s="31">
        <f>ROUND(IF(AQ44="1",BI44,0),2)</f>
        <v>0</v>
      </c>
      <c r="AD44" s="31">
        <f>ROUND(IF(AQ44="7",BH44,0),2)</f>
        <v>0</v>
      </c>
      <c r="AE44" s="31">
        <f>ROUND(IF(AQ44="7",BI44,0),2)</f>
        <v>0</v>
      </c>
      <c r="AF44" s="31">
        <f>ROUND(IF(AQ44="2",BH44,0),2)</f>
        <v>0</v>
      </c>
      <c r="AG44" s="31">
        <f>ROUND(IF(AQ44="2",BI44,0),2)</f>
        <v>0</v>
      </c>
      <c r="AH44" s="31">
        <f>ROUND(IF(AQ44="0",BJ44,0),2)</f>
        <v>0</v>
      </c>
      <c r="AI44" s="12" t="s">
        <v>54</v>
      </c>
      <c r="AJ44" s="31">
        <f>IF(AN44=0,L44,0)</f>
        <v>0</v>
      </c>
      <c r="AK44" s="31">
        <f>IF(AN44=12,L44,0)</f>
        <v>0</v>
      </c>
      <c r="AL44" s="31">
        <f>IF(AN44=21,L44,0)</f>
        <v>0</v>
      </c>
      <c r="AN44" s="31">
        <v>21</v>
      </c>
      <c r="AO44" s="31">
        <f>H44*1</f>
        <v>0</v>
      </c>
      <c r="AP44" s="31">
        <f>H44*(1-1)</f>
        <v>0</v>
      </c>
      <c r="AQ44" s="34" t="s">
        <v>80</v>
      </c>
      <c r="AV44" s="31">
        <f>ROUND(AW44+AX44,2)</f>
        <v>0</v>
      </c>
      <c r="AW44" s="31">
        <f>ROUND(G44*AO44,2)</f>
        <v>0</v>
      </c>
      <c r="AX44" s="31">
        <f>ROUND(G44*AP44,2)</f>
        <v>0</v>
      </c>
      <c r="AY44" s="34" t="s">
        <v>81</v>
      </c>
      <c r="AZ44" s="34" t="s">
        <v>82</v>
      </c>
      <c r="BA44" s="12" t="s">
        <v>64</v>
      </c>
      <c r="BC44" s="31">
        <f>AW44+AX44</f>
        <v>0</v>
      </c>
      <c r="BD44" s="31">
        <f>H44/(100-BE44)*100</f>
        <v>0</v>
      </c>
      <c r="BE44" s="31">
        <v>0</v>
      </c>
      <c r="BF44" s="31">
        <f>O44</f>
        <v>1.3793392E-2</v>
      </c>
      <c r="BH44" s="31">
        <f>G44*AO44</f>
        <v>0</v>
      </c>
      <c r="BI44" s="31">
        <f>G44*AP44</f>
        <v>0</v>
      </c>
      <c r="BJ44" s="31">
        <f>G44*H44</f>
        <v>0</v>
      </c>
      <c r="BK44" s="34" t="s">
        <v>98</v>
      </c>
      <c r="BL44" s="31">
        <v>713</v>
      </c>
      <c r="BW44" s="31">
        <f>I44</f>
        <v>21</v>
      </c>
      <c r="BX44" s="4" t="s">
        <v>108</v>
      </c>
    </row>
    <row r="45" spans="1:76">
      <c r="A45" s="35"/>
      <c r="D45" s="128" t="s">
        <v>452</v>
      </c>
      <c r="E45" s="36" t="s">
        <v>54</v>
      </c>
      <c r="F45" s="150"/>
      <c r="G45" s="37">
        <v>8.0779639999999997</v>
      </c>
      <c r="H45" s="150"/>
      <c r="P45" s="38"/>
    </row>
    <row r="46" spans="1:76">
      <c r="A46" s="35"/>
      <c r="D46" s="128" t="s">
        <v>448</v>
      </c>
      <c r="E46" s="36" t="s">
        <v>54</v>
      </c>
      <c r="F46" s="150"/>
      <c r="G46" s="37">
        <v>5.7154279999999993</v>
      </c>
      <c r="H46" s="150"/>
      <c r="P46" s="38"/>
    </row>
    <row r="47" spans="1:76">
      <c r="A47" s="86">
        <f>A44+1</f>
        <v>10</v>
      </c>
      <c r="B47" s="3" t="s">
        <v>54</v>
      </c>
      <c r="C47" s="3" t="s">
        <v>110</v>
      </c>
      <c r="D47" s="199" t="s">
        <v>111</v>
      </c>
      <c r="E47" s="200"/>
      <c r="F47" s="87" t="s">
        <v>112</v>
      </c>
      <c r="G47" s="31">
        <v>2.59</v>
      </c>
      <c r="H47" s="31">
        <v>0</v>
      </c>
      <c r="I47" s="32">
        <v>21</v>
      </c>
      <c r="J47" s="31">
        <f>ROUND(G47*AO47,2)</f>
        <v>0</v>
      </c>
      <c r="K47" s="31">
        <f>ROUND(G47*AP47,2)</f>
        <v>0</v>
      </c>
      <c r="L47" s="31">
        <f>ROUND(G47*H47,2)</f>
        <v>0</v>
      </c>
      <c r="M47" s="31">
        <f>L47*(1+BW47/100)</f>
        <v>0</v>
      </c>
      <c r="N47" s="31">
        <v>0</v>
      </c>
      <c r="O47" s="31">
        <f>G47*N47</f>
        <v>0</v>
      </c>
      <c r="P47" s="33" t="s">
        <v>61</v>
      </c>
      <c r="Z47" s="31">
        <f>ROUND(IF(AQ47="5",BJ47,0),2)</f>
        <v>0</v>
      </c>
      <c r="AB47" s="31">
        <f>ROUND(IF(AQ47="1",BH47,0),2)</f>
        <v>0</v>
      </c>
      <c r="AC47" s="31">
        <f>ROUND(IF(AQ47="1",BI47,0),2)</f>
        <v>0</v>
      </c>
      <c r="AD47" s="31">
        <f>ROUND(IF(AQ47="7",BH47,0),2)</f>
        <v>0</v>
      </c>
      <c r="AE47" s="31">
        <f>ROUND(IF(AQ47="7",BI47,0),2)</f>
        <v>0</v>
      </c>
      <c r="AF47" s="31">
        <f>ROUND(IF(AQ47="2",BH47,0),2)</f>
        <v>0</v>
      </c>
      <c r="AG47" s="31">
        <f>ROUND(IF(AQ47="2",BI47,0),2)</f>
        <v>0</v>
      </c>
      <c r="AH47" s="31">
        <f>ROUND(IF(AQ47="0",BJ47,0),2)</f>
        <v>0</v>
      </c>
      <c r="AI47" s="12" t="s">
        <v>54</v>
      </c>
      <c r="AJ47" s="31">
        <f>IF(AN47=0,L47,0)</f>
        <v>0</v>
      </c>
      <c r="AK47" s="31">
        <f>IF(AN47=12,L47,0)</f>
        <v>0</v>
      </c>
      <c r="AL47" s="31">
        <f>IF(AN47=21,L47,0)</f>
        <v>0</v>
      </c>
      <c r="AN47" s="31">
        <v>21</v>
      </c>
      <c r="AO47" s="31">
        <f>H47*0</f>
        <v>0</v>
      </c>
      <c r="AP47" s="31">
        <f>H47*(1-0)</f>
        <v>0</v>
      </c>
      <c r="AQ47" s="34" t="s">
        <v>90</v>
      </c>
      <c r="AV47" s="31">
        <f>ROUND(AW47+AX47,2)</f>
        <v>0</v>
      </c>
      <c r="AW47" s="31">
        <f>ROUND(G47*AO47,2)</f>
        <v>0</v>
      </c>
      <c r="AX47" s="31">
        <f>ROUND(G47*AP47,2)</f>
        <v>0</v>
      </c>
      <c r="AY47" s="34" t="s">
        <v>81</v>
      </c>
      <c r="AZ47" s="34" t="s">
        <v>82</v>
      </c>
      <c r="BA47" s="12" t="s">
        <v>64</v>
      </c>
      <c r="BC47" s="31">
        <f>AW47+AX47</f>
        <v>0</v>
      </c>
      <c r="BD47" s="31">
        <f>H47/(100-BE47)*100</f>
        <v>0</v>
      </c>
      <c r="BE47" s="31">
        <v>0</v>
      </c>
      <c r="BF47" s="31">
        <f>O47</f>
        <v>0</v>
      </c>
      <c r="BH47" s="31">
        <f>G47*AO47</f>
        <v>0</v>
      </c>
      <c r="BI47" s="31">
        <f>G47*AP47</f>
        <v>0</v>
      </c>
      <c r="BJ47" s="31">
        <f>G47*H47</f>
        <v>0</v>
      </c>
      <c r="BK47" s="34" t="s">
        <v>65</v>
      </c>
      <c r="BL47" s="31">
        <v>713</v>
      </c>
      <c r="BW47" s="31">
        <f>I47</f>
        <v>21</v>
      </c>
      <c r="BX47" s="4" t="s">
        <v>111</v>
      </c>
    </row>
    <row r="48" spans="1:76">
      <c r="A48" s="39" t="s">
        <v>54</v>
      </c>
      <c r="B48" s="40" t="s">
        <v>54</v>
      </c>
      <c r="C48" s="40" t="s">
        <v>113</v>
      </c>
      <c r="D48" s="246" t="s">
        <v>114</v>
      </c>
      <c r="E48" s="247"/>
      <c r="F48" s="41" t="s">
        <v>4</v>
      </c>
      <c r="G48" s="41" t="s">
        <v>4</v>
      </c>
      <c r="H48" s="41" t="s">
        <v>4</v>
      </c>
      <c r="I48" s="41" t="s">
        <v>4</v>
      </c>
      <c r="J48" s="1">
        <f>SUM(J49:J57)</f>
        <v>0</v>
      </c>
      <c r="K48" s="1">
        <f>SUM(K49:K57)</f>
        <v>0</v>
      </c>
      <c r="L48" s="1">
        <f>SUM(L49:L57)</f>
        <v>0</v>
      </c>
      <c r="M48" s="1">
        <f>SUM(M49:M57)</f>
        <v>0</v>
      </c>
      <c r="N48" s="12" t="s">
        <v>54</v>
      </c>
      <c r="O48" s="1">
        <f>SUM(O49:O57)</f>
        <v>3.1899999999999997E-3</v>
      </c>
      <c r="P48" s="42" t="s">
        <v>54</v>
      </c>
      <c r="AI48" s="12" t="s">
        <v>54</v>
      </c>
      <c r="AS48" s="1">
        <f>SUM(AJ49:AJ57)</f>
        <v>0</v>
      </c>
      <c r="AT48" s="1">
        <f>SUM(AK49:AK57)</f>
        <v>0</v>
      </c>
      <c r="AU48" s="1">
        <f>SUM(AL49:AL57)</f>
        <v>0</v>
      </c>
    </row>
    <row r="49" spans="1:76">
      <c r="A49" s="86">
        <f>A47+1</f>
        <v>11</v>
      </c>
      <c r="B49" s="3" t="s">
        <v>54</v>
      </c>
      <c r="C49" s="3" t="s">
        <v>115</v>
      </c>
      <c r="D49" s="199" t="s">
        <v>116</v>
      </c>
      <c r="E49" s="200"/>
      <c r="F49" s="3" t="s">
        <v>71</v>
      </c>
      <c r="G49" s="31">
        <v>1</v>
      </c>
      <c r="H49" s="31">
        <v>0</v>
      </c>
      <c r="I49" s="32">
        <v>21</v>
      </c>
      <c r="J49" s="31">
        <f>ROUND(G49*AO49,2)</f>
        <v>0</v>
      </c>
      <c r="K49" s="31">
        <f>ROUND(G49*AP49,2)</f>
        <v>0</v>
      </c>
      <c r="L49" s="31">
        <f>ROUND(G49*H49,2)</f>
        <v>0</v>
      </c>
      <c r="M49" s="31">
        <f>L49*(1+BW49/100)</f>
        <v>0</v>
      </c>
      <c r="N49" s="31">
        <v>2.0799999999999998E-3</v>
      </c>
      <c r="O49" s="31">
        <f>G49*N49</f>
        <v>2.0799999999999998E-3</v>
      </c>
      <c r="P49" s="33" t="s">
        <v>61</v>
      </c>
      <c r="Z49" s="31">
        <f>ROUND(IF(AQ49="5",BJ49,0),2)</f>
        <v>0</v>
      </c>
      <c r="AB49" s="31">
        <f>ROUND(IF(AQ49="1",BH49,0),2)</f>
        <v>0</v>
      </c>
      <c r="AC49" s="31">
        <f>ROUND(IF(AQ49="1",BI49,0),2)</f>
        <v>0</v>
      </c>
      <c r="AD49" s="31">
        <f>ROUND(IF(AQ49="7",BH49,0),2)</f>
        <v>0</v>
      </c>
      <c r="AE49" s="31">
        <f>ROUND(IF(AQ49="7",BI49,0),2)</f>
        <v>0</v>
      </c>
      <c r="AF49" s="31">
        <f>ROUND(IF(AQ49="2",BH49,0),2)</f>
        <v>0</v>
      </c>
      <c r="AG49" s="31">
        <f>ROUND(IF(AQ49="2",BI49,0),2)</f>
        <v>0</v>
      </c>
      <c r="AH49" s="31">
        <f>ROUND(IF(AQ49="0",BJ49,0),2)</f>
        <v>0</v>
      </c>
      <c r="AI49" s="12" t="s">
        <v>54</v>
      </c>
      <c r="AJ49" s="31">
        <f>IF(AN49=0,L49,0)</f>
        <v>0</v>
      </c>
      <c r="AK49" s="31">
        <f>IF(AN49=12,L49,0)</f>
        <v>0</v>
      </c>
      <c r="AL49" s="31">
        <f>IF(AN49=21,L49,0)</f>
        <v>0</v>
      </c>
      <c r="AN49" s="31">
        <v>21</v>
      </c>
      <c r="AO49" s="31">
        <f>H49*0.876966942</f>
        <v>0</v>
      </c>
      <c r="AP49" s="31">
        <f>H49*(1-0.876966942)</f>
        <v>0</v>
      </c>
      <c r="AQ49" s="34" t="s">
        <v>80</v>
      </c>
      <c r="AV49" s="31">
        <f>ROUND(AW49+AX49,2)</f>
        <v>0</v>
      </c>
      <c r="AW49" s="31">
        <f>ROUND(G49*AO49,2)</f>
        <v>0</v>
      </c>
      <c r="AX49" s="31">
        <f>ROUND(G49*AP49,2)</f>
        <v>0</v>
      </c>
      <c r="AY49" s="34" t="s">
        <v>117</v>
      </c>
      <c r="AZ49" s="34" t="s">
        <v>118</v>
      </c>
      <c r="BA49" s="12" t="s">
        <v>64</v>
      </c>
      <c r="BC49" s="31">
        <f>AW49+AX49</f>
        <v>0</v>
      </c>
      <c r="BD49" s="31">
        <f>H49/(100-BE49)*100</f>
        <v>0</v>
      </c>
      <c r="BE49" s="31">
        <v>0</v>
      </c>
      <c r="BF49" s="31">
        <f>O49</f>
        <v>2.0799999999999998E-3</v>
      </c>
      <c r="BH49" s="31">
        <f>G49*AO49</f>
        <v>0</v>
      </c>
      <c r="BI49" s="31">
        <f>G49*AP49</f>
        <v>0</v>
      </c>
      <c r="BJ49" s="31">
        <f>G49*H49</f>
        <v>0</v>
      </c>
      <c r="BK49" s="34" t="s">
        <v>65</v>
      </c>
      <c r="BL49" s="31">
        <v>722</v>
      </c>
      <c r="BW49" s="31">
        <f>I49</f>
        <v>21</v>
      </c>
      <c r="BX49" s="4" t="s">
        <v>116</v>
      </c>
    </row>
    <row r="50" spans="1:76">
      <c r="A50" s="35"/>
      <c r="D50" s="128" t="s">
        <v>459</v>
      </c>
      <c r="E50" s="36" t="s">
        <v>54</v>
      </c>
      <c r="G50" s="37">
        <v>1</v>
      </c>
      <c r="P50" s="38"/>
    </row>
    <row r="51" spans="1:76">
      <c r="A51" s="86">
        <f>A49+1</f>
        <v>12</v>
      </c>
      <c r="B51" s="3" t="s">
        <v>54</v>
      </c>
      <c r="C51" s="3" t="s">
        <v>119</v>
      </c>
      <c r="D51" s="199" t="s">
        <v>120</v>
      </c>
      <c r="E51" s="200"/>
      <c r="F51" s="3" t="s">
        <v>71</v>
      </c>
      <c r="G51" s="31">
        <v>2</v>
      </c>
      <c r="H51" s="31">
        <v>0</v>
      </c>
      <c r="I51" s="32">
        <v>21</v>
      </c>
      <c r="J51" s="31">
        <f>ROUND(G51*AO51,2)</f>
        <v>0</v>
      </c>
      <c r="K51" s="31">
        <f>ROUND(G51*AP51,2)</f>
        <v>0</v>
      </c>
      <c r="L51" s="31">
        <f>ROUND(G51*H51,2)</f>
        <v>0</v>
      </c>
      <c r="M51" s="31">
        <f>L51*(1+BW51/100)</f>
        <v>0</v>
      </c>
      <c r="N51" s="31">
        <v>3.8000000000000002E-4</v>
      </c>
      <c r="O51" s="31">
        <f>G51*N51</f>
        <v>7.6000000000000004E-4</v>
      </c>
      <c r="P51" s="33" t="s">
        <v>61</v>
      </c>
      <c r="Z51" s="31">
        <f>ROUND(IF(AQ51="5",BJ51,0),2)</f>
        <v>0</v>
      </c>
      <c r="AB51" s="31">
        <f>ROUND(IF(AQ51="1",BH51,0),2)</f>
        <v>0</v>
      </c>
      <c r="AC51" s="31">
        <f>ROUND(IF(AQ51="1",BI51,0),2)</f>
        <v>0</v>
      </c>
      <c r="AD51" s="31">
        <f>ROUND(IF(AQ51="7",BH51,0),2)</f>
        <v>0</v>
      </c>
      <c r="AE51" s="31">
        <f>ROUND(IF(AQ51="7",BI51,0),2)</f>
        <v>0</v>
      </c>
      <c r="AF51" s="31">
        <f>ROUND(IF(AQ51="2",BH51,0),2)</f>
        <v>0</v>
      </c>
      <c r="AG51" s="31">
        <f>ROUND(IF(AQ51="2",BI51,0),2)</f>
        <v>0</v>
      </c>
      <c r="AH51" s="31">
        <f>ROUND(IF(AQ51="0",BJ51,0),2)</f>
        <v>0</v>
      </c>
      <c r="AI51" s="12" t="s">
        <v>54</v>
      </c>
      <c r="AJ51" s="31">
        <f>IF(AN51=0,L51,0)</f>
        <v>0</v>
      </c>
      <c r="AK51" s="31">
        <f>IF(AN51=12,L51,0)</f>
        <v>0</v>
      </c>
      <c r="AL51" s="31">
        <f>IF(AN51=21,L51,0)</f>
        <v>0</v>
      </c>
      <c r="AN51" s="31">
        <v>21</v>
      </c>
      <c r="AO51" s="31">
        <f>H51*0.739511461</f>
        <v>0</v>
      </c>
      <c r="AP51" s="31">
        <f>H51*(1-0.739511461)</f>
        <v>0</v>
      </c>
      <c r="AQ51" s="34" t="s">
        <v>80</v>
      </c>
      <c r="AV51" s="31">
        <f>ROUND(AW51+AX51,2)</f>
        <v>0</v>
      </c>
      <c r="AW51" s="31">
        <f>ROUND(G51*AO51,2)</f>
        <v>0</v>
      </c>
      <c r="AX51" s="31">
        <f>ROUND(G51*AP51,2)</f>
        <v>0</v>
      </c>
      <c r="AY51" s="34" t="s">
        <v>117</v>
      </c>
      <c r="AZ51" s="34" t="s">
        <v>118</v>
      </c>
      <c r="BA51" s="12" t="s">
        <v>64</v>
      </c>
      <c r="BC51" s="31">
        <f>AW51+AX51</f>
        <v>0</v>
      </c>
      <c r="BD51" s="31">
        <f>H51/(100-BE51)*100</f>
        <v>0</v>
      </c>
      <c r="BE51" s="31">
        <v>0</v>
      </c>
      <c r="BF51" s="31">
        <f>O51</f>
        <v>7.6000000000000004E-4</v>
      </c>
      <c r="BH51" s="31">
        <f>G51*AO51</f>
        <v>0</v>
      </c>
      <c r="BI51" s="31">
        <f>G51*AP51</f>
        <v>0</v>
      </c>
      <c r="BJ51" s="31">
        <f>G51*H51</f>
        <v>0</v>
      </c>
      <c r="BK51" s="34" t="s">
        <v>65</v>
      </c>
      <c r="BL51" s="31">
        <v>722</v>
      </c>
      <c r="BW51" s="31">
        <f>I51</f>
        <v>21</v>
      </c>
      <c r="BX51" s="4" t="s">
        <v>120</v>
      </c>
    </row>
    <row r="52" spans="1:76">
      <c r="A52" s="35"/>
      <c r="D52" s="36" t="s">
        <v>121</v>
      </c>
      <c r="E52" s="36" t="s">
        <v>54</v>
      </c>
      <c r="G52" s="37">
        <v>2</v>
      </c>
      <c r="P52" s="38"/>
    </row>
    <row r="53" spans="1:76">
      <c r="A53" s="86">
        <f>A51+1</f>
        <v>13</v>
      </c>
      <c r="B53" s="3" t="s">
        <v>54</v>
      </c>
      <c r="C53" s="3" t="s">
        <v>122</v>
      </c>
      <c r="D53" s="199" t="s">
        <v>123</v>
      </c>
      <c r="E53" s="200"/>
      <c r="F53" s="3" t="s">
        <v>71</v>
      </c>
      <c r="G53" s="31">
        <v>1</v>
      </c>
      <c r="H53" s="31">
        <v>0</v>
      </c>
      <c r="I53" s="32">
        <v>21</v>
      </c>
      <c r="J53" s="31">
        <f>ROUND(G53*AO53,2)</f>
        <v>0</v>
      </c>
      <c r="K53" s="31">
        <f>ROUND(G53*AP53,2)</f>
        <v>0</v>
      </c>
      <c r="L53" s="31">
        <f>ROUND(G53*H53,2)</f>
        <v>0</v>
      </c>
      <c r="M53" s="31">
        <f>L53*(1+BW53/100)</f>
        <v>0</v>
      </c>
      <c r="N53" s="31">
        <v>3.0000000000000001E-5</v>
      </c>
      <c r="O53" s="31">
        <f>G53*N53</f>
        <v>3.0000000000000001E-5</v>
      </c>
      <c r="P53" s="33" t="s">
        <v>61</v>
      </c>
      <c r="Z53" s="31">
        <f>ROUND(IF(AQ53="5",BJ53,0),2)</f>
        <v>0</v>
      </c>
      <c r="AB53" s="31">
        <f>ROUND(IF(AQ53="1",BH53,0),2)</f>
        <v>0</v>
      </c>
      <c r="AC53" s="31">
        <f>ROUND(IF(AQ53="1",BI53,0),2)</f>
        <v>0</v>
      </c>
      <c r="AD53" s="31">
        <f>ROUND(IF(AQ53="7",BH53,0),2)</f>
        <v>0</v>
      </c>
      <c r="AE53" s="31">
        <f>ROUND(IF(AQ53="7",BI53,0),2)</f>
        <v>0</v>
      </c>
      <c r="AF53" s="31">
        <f>ROUND(IF(AQ53="2",BH53,0),2)</f>
        <v>0</v>
      </c>
      <c r="AG53" s="31">
        <f>ROUND(IF(AQ53="2",BI53,0),2)</f>
        <v>0</v>
      </c>
      <c r="AH53" s="31">
        <f>ROUND(IF(AQ53="0",BJ53,0),2)</f>
        <v>0</v>
      </c>
      <c r="AI53" s="12" t="s">
        <v>54</v>
      </c>
      <c r="AJ53" s="31">
        <f>IF(AN53=0,L53,0)</f>
        <v>0</v>
      </c>
      <c r="AK53" s="31">
        <f>IF(AN53=12,L53,0)</f>
        <v>0</v>
      </c>
      <c r="AL53" s="31">
        <f>IF(AN53=21,L53,0)</f>
        <v>0</v>
      </c>
      <c r="AN53" s="31">
        <v>21</v>
      </c>
      <c r="AO53" s="31">
        <f>H53*0.308769041</f>
        <v>0</v>
      </c>
      <c r="AP53" s="31">
        <f>H53*(1-0.308769041)</f>
        <v>0</v>
      </c>
      <c r="AQ53" s="34" t="s">
        <v>80</v>
      </c>
      <c r="AV53" s="31">
        <f>ROUND(AW53+AX53,2)</f>
        <v>0</v>
      </c>
      <c r="AW53" s="31">
        <f>ROUND(G53*AO53,2)</f>
        <v>0</v>
      </c>
      <c r="AX53" s="31">
        <f>ROUND(G53*AP53,2)</f>
        <v>0</v>
      </c>
      <c r="AY53" s="34" t="s">
        <v>117</v>
      </c>
      <c r="AZ53" s="34" t="s">
        <v>118</v>
      </c>
      <c r="BA53" s="12" t="s">
        <v>64</v>
      </c>
      <c r="BC53" s="31">
        <f>AW53+AX53</f>
        <v>0</v>
      </c>
      <c r="BD53" s="31">
        <f>H53/(100-BE53)*100</f>
        <v>0</v>
      </c>
      <c r="BE53" s="31">
        <v>0</v>
      </c>
      <c r="BF53" s="31">
        <f>O53</f>
        <v>3.0000000000000001E-5</v>
      </c>
      <c r="BH53" s="31">
        <f>G53*AO53</f>
        <v>0</v>
      </c>
      <c r="BI53" s="31">
        <f>G53*AP53</f>
        <v>0</v>
      </c>
      <c r="BJ53" s="31">
        <f>G53*H53</f>
        <v>0</v>
      </c>
      <c r="BK53" s="34" t="s">
        <v>65</v>
      </c>
      <c r="BL53" s="31">
        <v>722</v>
      </c>
      <c r="BW53" s="31">
        <f>I53</f>
        <v>21</v>
      </c>
      <c r="BX53" s="4" t="s">
        <v>123</v>
      </c>
    </row>
    <row r="54" spans="1:76">
      <c r="A54" s="35"/>
      <c r="D54" s="128" t="s">
        <v>459</v>
      </c>
      <c r="E54" s="36" t="s">
        <v>54</v>
      </c>
      <c r="G54" s="37">
        <v>1</v>
      </c>
      <c r="P54" s="38"/>
    </row>
    <row r="55" spans="1:76">
      <c r="A55" s="86">
        <f>A53+1</f>
        <v>14</v>
      </c>
      <c r="B55" s="3" t="s">
        <v>54</v>
      </c>
      <c r="C55" s="3" t="s">
        <v>125</v>
      </c>
      <c r="D55" s="199" t="s">
        <v>126</v>
      </c>
      <c r="E55" s="200"/>
      <c r="F55" s="3" t="s">
        <v>71</v>
      </c>
      <c r="G55" s="31">
        <v>1</v>
      </c>
      <c r="H55" s="31">
        <v>0</v>
      </c>
      <c r="I55" s="32">
        <v>21</v>
      </c>
      <c r="J55" s="31">
        <f>ROUND(G55*AO55,2)</f>
        <v>0</v>
      </c>
      <c r="K55" s="31">
        <f>ROUND(G55*AP55,2)</f>
        <v>0</v>
      </c>
      <c r="L55" s="31">
        <f>ROUND(G55*H55,2)</f>
        <v>0</v>
      </c>
      <c r="M55" s="31">
        <f>L55*(1+BW55/100)</f>
        <v>0</v>
      </c>
      <c r="N55" s="31">
        <v>3.2000000000000003E-4</v>
      </c>
      <c r="O55" s="31">
        <f>G55*N55</f>
        <v>3.2000000000000003E-4</v>
      </c>
      <c r="P55" s="33" t="s">
        <v>61</v>
      </c>
      <c r="Z55" s="31">
        <f>ROUND(IF(AQ55="5",BJ55,0),2)</f>
        <v>0</v>
      </c>
      <c r="AB55" s="31">
        <f>ROUND(IF(AQ55="1",BH55,0),2)</f>
        <v>0</v>
      </c>
      <c r="AC55" s="31">
        <f>ROUND(IF(AQ55="1",BI55,0),2)</f>
        <v>0</v>
      </c>
      <c r="AD55" s="31">
        <f>ROUND(IF(AQ55="7",BH55,0),2)</f>
        <v>0</v>
      </c>
      <c r="AE55" s="31">
        <f>ROUND(IF(AQ55="7",BI55,0),2)</f>
        <v>0</v>
      </c>
      <c r="AF55" s="31">
        <f>ROUND(IF(AQ55="2",BH55,0),2)</f>
        <v>0</v>
      </c>
      <c r="AG55" s="31">
        <f>ROUND(IF(AQ55="2",BI55,0),2)</f>
        <v>0</v>
      </c>
      <c r="AH55" s="31">
        <f>ROUND(IF(AQ55="0",BJ55,0),2)</f>
        <v>0</v>
      </c>
      <c r="AI55" s="12" t="s">
        <v>54</v>
      </c>
      <c r="AJ55" s="31">
        <f>IF(AN55=0,L55,0)</f>
        <v>0</v>
      </c>
      <c r="AK55" s="31">
        <f>IF(AN55=12,L55,0)</f>
        <v>0</v>
      </c>
      <c r="AL55" s="31">
        <f>IF(AN55=21,L55,0)</f>
        <v>0</v>
      </c>
      <c r="AN55" s="31">
        <v>21</v>
      </c>
      <c r="AO55" s="31">
        <f>H55*0.781445221</f>
        <v>0</v>
      </c>
      <c r="AP55" s="31">
        <f>H55*(1-0.781445221)</f>
        <v>0</v>
      </c>
      <c r="AQ55" s="34" t="s">
        <v>80</v>
      </c>
      <c r="AV55" s="31">
        <f>ROUND(AW55+AX55,2)</f>
        <v>0</v>
      </c>
      <c r="AW55" s="31">
        <f>ROUND(G55*AO55,2)</f>
        <v>0</v>
      </c>
      <c r="AX55" s="31">
        <f>ROUND(G55*AP55,2)</f>
        <v>0</v>
      </c>
      <c r="AY55" s="34" t="s">
        <v>117</v>
      </c>
      <c r="AZ55" s="34" t="s">
        <v>118</v>
      </c>
      <c r="BA55" s="12" t="s">
        <v>64</v>
      </c>
      <c r="BC55" s="31">
        <f>AW55+AX55</f>
        <v>0</v>
      </c>
      <c r="BD55" s="31">
        <f>H55/(100-BE55)*100</f>
        <v>0</v>
      </c>
      <c r="BE55" s="31">
        <v>0</v>
      </c>
      <c r="BF55" s="31">
        <f>O55</f>
        <v>3.2000000000000003E-4</v>
      </c>
      <c r="BH55" s="31">
        <f>G55*AO55</f>
        <v>0</v>
      </c>
      <c r="BI55" s="31">
        <f>G55*AP55</f>
        <v>0</v>
      </c>
      <c r="BJ55" s="31">
        <f>G55*H55</f>
        <v>0</v>
      </c>
      <c r="BK55" s="34" t="s">
        <v>65</v>
      </c>
      <c r="BL55" s="31">
        <v>722</v>
      </c>
      <c r="BW55" s="31">
        <f>I55</f>
        <v>21</v>
      </c>
      <c r="BX55" s="4" t="s">
        <v>126</v>
      </c>
    </row>
    <row r="56" spans="1:76">
      <c r="A56" s="35"/>
      <c r="D56" s="128" t="s">
        <v>459</v>
      </c>
      <c r="E56" s="36" t="s">
        <v>54</v>
      </c>
      <c r="G56" s="37">
        <v>1</v>
      </c>
      <c r="P56" s="38"/>
    </row>
    <row r="57" spans="1:76">
      <c r="A57" s="86">
        <f>A55+1</f>
        <v>15</v>
      </c>
      <c r="B57" s="3" t="s">
        <v>54</v>
      </c>
      <c r="C57" s="3" t="s">
        <v>127</v>
      </c>
      <c r="D57" s="199" t="s">
        <v>128</v>
      </c>
      <c r="E57" s="200"/>
      <c r="F57" s="3" t="s">
        <v>112</v>
      </c>
      <c r="G57" s="31">
        <v>1.6</v>
      </c>
      <c r="H57" s="31">
        <v>0</v>
      </c>
      <c r="I57" s="32">
        <v>21</v>
      </c>
      <c r="J57" s="31">
        <f>ROUND(G57*AO57,2)</f>
        <v>0</v>
      </c>
      <c r="K57" s="31">
        <f>ROUND(G57*AP57,2)</f>
        <v>0</v>
      </c>
      <c r="L57" s="31">
        <f>ROUND(G57*H57,2)</f>
        <v>0</v>
      </c>
      <c r="M57" s="31">
        <f>L57*(1+BW57/100)</f>
        <v>0</v>
      </c>
      <c r="N57" s="31">
        <v>0</v>
      </c>
      <c r="O57" s="31">
        <f>G57*N57</f>
        <v>0</v>
      </c>
      <c r="P57" s="33" t="s">
        <v>61</v>
      </c>
      <c r="Z57" s="31">
        <f>ROUND(IF(AQ57="5",BJ57,0),2)</f>
        <v>0</v>
      </c>
      <c r="AB57" s="31">
        <f>ROUND(IF(AQ57="1",BH57,0),2)</f>
        <v>0</v>
      </c>
      <c r="AC57" s="31">
        <f>ROUND(IF(AQ57="1",BI57,0),2)</f>
        <v>0</v>
      </c>
      <c r="AD57" s="31">
        <f>ROUND(IF(AQ57="7",BH57,0),2)</f>
        <v>0</v>
      </c>
      <c r="AE57" s="31">
        <f>ROUND(IF(AQ57="7",BI57,0),2)</f>
        <v>0</v>
      </c>
      <c r="AF57" s="31">
        <f>ROUND(IF(AQ57="2",BH57,0),2)</f>
        <v>0</v>
      </c>
      <c r="AG57" s="31">
        <f>ROUND(IF(AQ57="2",BI57,0),2)</f>
        <v>0</v>
      </c>
      <c r="AH57" s="31">
        <f>ROUND(IF(AQ57="0",BJ57,0),2)</f>
        <v>0</v>
      </c>
      <c r="AI57" s="12" t="s">
        <v>54</v>
      </c>
      <c r="AJ57" s="31">
        <f>IF(AN57=0,L57,0)</f>
        <v>0</v>
      </c>
      <c r="AK57" s="31">
        <f>IF(AN57=12,L57,0)</f>
        <v>0</v>
      </c>
      <c r="AL57" s="31">
        <f>IF(AN57=21,L57,0)</f>
        <v>0</v>
      </c>
      <c r="AN57" s="31">
        <v>21</v>
      </c>
      <c r="AO57" s="31">
        <f>H57*0</f>
        <v>0</v>
      </c>
      <c r="AP57" s="31">
        <f>H57*(1-0)</f>
        <v>0</v>
      </c>
      <c r="AQ57" s="34" t="s">
        <v>90</v>
      </c>
      <c r="AV57" s="31">
        <f>ROUND(AW57+AX57,2)</f>
        <v>0</v>
      </c>
      <c r="AW57" s="31">
        <f>ROUND(G57*AO57,2)</f>
        <v>0</v>
      </c>
      <c r="AX57" s="31">
        <f>ROUND(G57*AP57,2)</f>
        <v>0</v>
      </c>
      <c r="AY57" s="34" t="s">
        <v>117</v>
      </c>
      <c r="AZ57" s="34" t="s">
        <v>118</v>
      </c>
      <c r="BA57" s="12" t="s">
        <v>64</v>
      </c>
      <c r="BC57" s="31">
        <f>AW57+AX57</f>
        <v>0</v>
      </c>
      <c r="BD57" s="31">
        <f>H57/(100-BE57)*100</f>
        <v>0</v>
      </c>
      <c r="BE57" s="31">
        <v>0</v>
      </c>
      <c r="BF57" s="31">
        <f>O57</f>
        <v>0</v>
      </c>
      <c r="BH57" s="31">
        <f>G57*AO57</f>
        <v>0</v>
      </c>
      <c r="BI57" s="31">
        <f>G57*AP57</f>
        <v>0</v>
      </c>
      <c r="BJ57" s="31">
        <f>G57*H57</f>
        <v>0</v>
      </c>
      <c r="BK57" s="34" t="s">
        <v>65</v>
      </c>
      <c r="BL57" s="31">
        <v>722</v>
      </c>
      <c r="BW57" s="31">
        <f>I57</f>
        <v>21</v>
      </c>
      <c r="BX57" s="4" t="s">
        <v>128</v>
      </c>
    </row>
    <row r="58" spans="1:76">
      <c r="A58" s="39" t="s">
        <v>54</v>
      </c>
      <c r="B58" s="40" t="s">
        <v>54</v>
      </c>
      <c r="C58" s="40" t="s">
        <v>129</v>
      </c>
      <c r="D58" s="246" t="s">
        <v>130</v>
      </c>
      <c r="E58" s="247"/>
      <c r="F58" s="41" t="s">
        <v>4</v>
      </c>
      <c r="G58" s="41" t="s">
        <v>4</v>
      </c>
      <c r="H58" s="41" t="s">
        <v>4</v>
      </c>
      <c r="I58" s="41" t="s">
        <v>4</v>
      </c>
      <c r="J58" s="1">
        <f>SUM(J59:J59)</f>
        <v>0</v>
      </c>
      <c r="K58" s="1">
        <f>SUM(K59:K59)</f>
        <v>0</v>
      </c>
      <c r="L58" s="1">
        <f>SUM(L59:L59)</f>
        <v>0</v>
      </c>
      <c r="M58" s="1">
        <f>SUM(M59:M59)</f>
        <v>0</v>
      </c>
      <c r="N58" s="12" t="s">
        <v>54</v>
      </c>
      <c r="O58" s="1">
        <f>SUM(O59:O59)</f>
        <v>0</v>
      </c>
      <c r="P58" s="42" t="s">
        <v>54</v>
      </c>
      <c r="AI58" s="12" t="s">
        <v>54</v>
      </c>
      <c r="AS58" s="1">
        <f>SUM(AJ59:AJ59)</f>
        <v>0</v>
      </c>
      <c r="AT58" s="1">
        <f>SUM(AK59:AK59)</f>
        <v>0</v>
      </c>
      <c r="AU58" s="1">
        <f>SUM(AL59:AL59)</f>
        <v>0</v>
      </c>
    </row>
    <row r="59" spans="1:76">
      <c r="A59" s="86">
        <f>A57+1</f>
        <v>16</v>
      </c>
      <c r="B59" s="3" t="s">
        <v>54</v>
      </c>
      <c r="C59" s="3" t="s">
        <v>131</v>
      </c>
      <c r="D59" s="199" t="s">
        <v>132</v>
      </c>
      <c r="E59" s="200"/>
      <c r="F59" s="3" t="s">
        <v>71</v>
      </c>
      <c r="G59" s="31">
        <v>1</v>
      </c>
      <c r="H59" s="31">
        <v>0</v>
      </c>
      <c r="I59" s="32">
        <v>21</v>
      </c>
      <c r="J59" s="31">
        <f>ROUND(G59*AO59,2)</f>
        <v>0</v>
      </c>
      <c r="K59" s="31">
        <f>ROUND(G59*AP59,2)</f>
        <v>0</v>
      </c>
      <c r="L59" s="31">
        <f>ROUND(G59*H59,2)</f>
        <v>0</v>
      </c>
      <c r="M59" s="31">
        <f>L59*(1+BW59/100)</f>
        <v>0</v>
      </c>
      <c r="N59" s="31">
        <v>0</v>
      </c>
      <c r="O59" s="31">
        <f>G59*N59</f>
        <v>0</v>
      </c>
      <c r="P59" s="33" t="s">
        <v>61</v>
      </c>
      <c r="Z59" s="31">
        <f>ROUND(IF(AQ59="5",BJ59,0),2)</f>
        <v>0</v>
      </c>
      <c r="AB59" s="31">
        <f>ROUND(IF(AQ59="1",BH59,0),2)</f>
        <v>0</v>
      </c>
      <c r="AC59" s="31">
        <f>ROUND(IF(AQ59="1",BI59,0),2)</f>
        <v>0</v>
      </c>
      <c r="AD59" s="31">
        <f>ROUND(IF(AQ59="7",BH59,0),2)</f>
        <v>0</v>
      </c>
      <c r="AE59" s="31">
        <f>ROUND(IF(AQ59="7",BI59,0),2)</f>
        <v>0</v>
      </c>
      <c r="AF59" s="31">
        <f>ROUND(IF(AQ59="2",BH59,0),2)</f>
        <v>0</v>
      </c>
      <c r="AG59" s="31">
        <f>ROUND(IF(AQ59="2",BI59,0),2)</f>
        <v>0</v>
      </c>
      <c r="AH59" s="31">
        <f>ROUND(IF(AQ59="0",BJ59,0),2)</f>
        <v>0</v>
      </c>
      <c r="AI59" s="12" t="s">
        <v>54</v>
      </c>
      <c r="AJ59" s="31">
        <f>IF(AN59=0,L59,0)</f>
        <v>0</v>
      </c>
      <c r="AK59" s="31">
        <f>IF(AN59=12,L59,0)</f>
        <v>0</v>
      </c>
      <c r="AL59" s="31">
        <f>IF(AN59=21,L59,0)</f>
        <v>0</v>
      </c>
      <c r="AN59" s="31">
        <v>21</v>
      </c>
      <c r="AO59" s="31">
        <f>H59*0</f>
        <v>0</v>
      </c>
      <c r="AP59" s="31">
        <f>H59*(1-0)</f>
        <v>0</v>
      </c>
      <c r="AQ59" s="34" t="s">
        <v>80</v>
      </c>
      <c r="AV59" s="31">
        <f>ROUND(AW59+AX59,2)</f>
        <v>0</v>
      </c>
      <c r="AW59" s="31">
        <f>ROUND(G59*AO59,2)</f>
        <v>0</v>
      </c>
      <c r="AX59" s="31">
        <f>ROUND(G59*AP59,2)</f>
        <v>0</v>
      </c>
      <c r="AY59" s="34" t="s">
        <v>133</v>
      </c>
      <c r="AZ59" s="34" t="s">
        <v>134</v>
      </c>
      <c r="BA59" s="12" t="s">
        <v>64</v>
      </c>
      <c r="BC59" s="31">
        <f>AW59+AX59</f>
        <v>0</v>
      </c>
      <c r="BD59" s="31">
        <f>H59/(100-BE59)*100</f>
        <v>0</v>
      </c>
      <c r="BE59" s="31">
        <v>0</v>
      </c>
      <c r="BF59" s="31">
        <f>O59</f>
        <v>0</v>
      </c>
      <c r="BH59" s="31">
        <f>G59*AO59</f>
        <v>0</v>
      </c>
      <c r="BI59" s="31">
        <f>G59*AP59</f>
        <v>0</v>
      </c>
      <c r="BJ59" s="31">
        <f>G59*H59</f>
        <v>0</v>
      </c>
      <c r="BK59" s="34" t="s">
        <v>65</v>
      </c>
      <c r="BL59" s="31">
        <v>732</v>
      </c>
      <c r="BW59" s="31">
        <f>I59</f>
        <v>21</v>
      </c>
      <c r="BX59" s="4" t="s">
        <v>132</v>
      </c>
    </row>
    <row r="60" spans="1:76">
      <c r="A60" s="39" t="s">
        <v>54</v>
      </c>
      <c r="B60" s="40" t="s">
        <v>54</v>
      </c>
      <c r="C60" s="40" t="s">
        <v>135</v>
      </c>
      <c r="D60" s="246" t="s">
        <v>136</v>
      </c>
      <c r="E60" s="247"/>
      <c r="F60" s="41" t="s">
        <v>4</v>
      </c>
      <c r="G60" s="41" t="s">
        <v>4</v>
      </c>
      <c r="H60" s="41" t="s">
        <v>4</v>
      </c>
      <c r="I60" s="41" t="s">
        <v>4</v>
      </c>
      <c r="J60" s="1">
        <f>SUM(J61:J74)</f>
        <v>0</v>
      </c>
      <c r="K60" s="1">
        <f>SUM(K61:K74)</f>
        <v>0</v>
      </c>
      <c r="L60" s="1">
        <f>SUM(L61:L74)</f>
        <v>0</v>
      </c>
      <c r="M60" s="1">
        <f>SUM(M61:M74)</f>
        <v>0</v>
      </c>
      <c r="N60" s="12" t="s">
        <v>54</v>
      </c>
      <c r="O60" s="1">
        <f>SUM(O61:O74)</f>
        <v>2.2769087999999997</v>
      </c>
      <c r="P60" s="42" t="s">
        <v>54</v>
      </c>
      <c r="AI60" s="12" t="s">
        <v>54</v>
      </c>
      <c r="AS60" s="1">
        <f>SUM(AJ61:AJ74)</f>
        <v>0</v>
      </c>
      <c r="AT60" s="1">
        <f>SUM(AK61:AK74)</f>
        <v>0</v>
      </c>
      <c r="AU60" s="1">
        <f>SUM(AL61:AL74)</f>
        <v>0</v>
      </c>
    </row>
    <row r="61" spans="1:76">
      <c r="A61" s="86">
        <f>A59+1</f>
        <v>17</v>
      </c>
      <c r="B61" s="3" t="s">
        <v>54</v>
      </c>
      <c r="C61" s="3" t="s">
        <v>137</v>
      </c>
      <c r="D61" s="199" t="s">
        <v>138</v>
      </c>
      <c r="E61" s="200"/>
      <c r="F61" s="3" t="s">
        <v>109</v>
      </c>
      <c r="G61" s="31">
        <v>2117</v>
      </c>
      <c r="H61" s="31">
        <v>0</v>
      </c>
      <c r="I61" s="32">
        <v>21</v>
      </c>
      <c r="J61" s="31">
        <f>ROUND(G61*AO61,2)</f>
        <v>0</v>
      </c>
      <c r="K61" s="31">
        <f>ROUND(G61*AP61,2)</f>
        <v>0</v>
      </c>
      <c r="L61" s="31">
        <f>ROUND(G61*H61,2)</f>
        <v>0</v>
      </c>
      <c r="M61" s="31">
        <f>L61*(1+BW61/100)</f>
        <v>0</v>
      </c>
      <c r="N61" s="31">
        <v>1.0499999999999999E-3</v>
      </c>
      <c r="O61" s="31">
        <f>G61*N61</f>
        <v>2.2228499999999998</v>
      </c>
      <c r="P61" s="33" t="s">
        <v>61</v>
      </c>
      <c r="Z61" s="31">
        <f>ROUND(IF(AQ61="5",BJ61,0),2)</f>
        <v>0</v>
      </c>
      <c r="AB61" s="31">
        <f>ROUND(IF(AQ61="1",BH61,0),2)</f>
        <v>0</v>
      </c>
      <c r="AC61" s="31">
        <f>ROUND(IF(AQ61="1",BI61,0),2)</f>
        <v>0</v>
      </c>
      <c r="AD61" s="31">
        <f>ROUND(IF(AQ61="7",BH61,0),2)</f>
        <v>0</v>
      </c>
      <c r="AE61" s="31">
        <f>ROUND(IF(AQ61="7",BI61,0),2)</f>
        <v>0</v>
      </c>
      <c r="AF61" s="31">
        <f>ROUND(IF(AQ61="2",BH61,0),2)</f>
        <v>0</v>
      </c>
      <c r="AG61" s="31">
        <f>ROUND(IF(AQ61="2",BI61,0),2)</f>
        <v>0</v>
      </c>
      <c r="AH61" s="31">
        <f>ROUND(IF(AQ61="0",BJ61,0),2)</f>
        <v>0</v>
      </c>
      <c r="AI61" s="12" t="s">
        <v>54</v>
      </c>
      <c r="AJ61" s="31">
        <f>IF(AN61=0,L61,0)</f>
        <v>0</v>
      </c>
      <c r="AK61" s="31">
        <f>IF(AN61=12,L61,0)</f>
        <v>0</v>
      </c>
      <c r="AL61" s="31">
        <f>IF(AN61=21,L61,0)</f>
        <v>0</v>
      </c>
      <c r="AN61" s="31">
        <v>21</v>
      </c>
      <c r="AO61" s="31">
        <f>H61*0.140227991</f>
        <v>0</v>
      </c>
      <c r="AP61" s="31">
        <f>H61*(1-0.140227991)</f>
        <v>0</v>
      </c>
      <c r="AQ61" s="34" t="s">
        <v>80</v>
      </c>
      <c r="AV61" s="31">
        <f>ROUND(AW61+AX61,2)</f>
        <v>0</v>
      </c>
      <c r="AW61" s="31">
        <f>ROUND(G61*AO61,2)</f>
        <v>0</v>
      </c>
      <c r="AX61" s="31">
        <f>ROUND(G61*AP61,2)</f>
        <v>0</v>
      </c>
      <c r="AY61" s="34" t="s">
        <v>139</v>
      </c>
      <c r="AZ61" s="34" t="s">
        <v>140</v>
      </c>
      <c r="BA61" s="12" t="s">
        <v>64</v>
      </c>
      <c r="BC61" s="31">
        <f>AW61+AX61</f>
        <v>0</v>
      </c>
      <c r="BD61" s="31">
        <f>H61/(100-BE61)*100</f>
        <v>0</v>
      </c>
      <c r="BE61" s="31">
        <v>0</v>
      </c>
      <c r="BF61" s="31">
        <f>O61</f>
        <v>2.2228499999999998</v>
      </c>
      <c r="BH61" s="31">
        <f>G61*AO61</f>
        <v>0</v>
      </c>
      <c r="BI61" s="31">
        <f>G61*AP61</f>
        <v>0</v>
      </c>
      <c r="BJ61" s="31">
        <f>G61*H61</f>
        <v>0</v>
      </c>
      <c r="BK61" s="34" t="s">
        <v>65</v>
      </c>
      <c r="BL61" s="31">
        <v>767</v>
      </c>
      <c r="BW61" s="31">
        <f>I61</f>
        <v>21</v>
      </c>
      <c r="BX61" s="4" t="s">
        <v>138</v>
      </c>
    </row>
    <row r="62" spans="1:76">
      <c r="A62" s="35"/>
      <c r="D62" s="36" t="s">
        <v>141</v>
      </c>
      <c r="E62" s="36" t="s">
        <v>54</v>
      </c>
      <c r="G62" s="37">
        <v>2117</v>
      </c>
      <c r="P62" s="38"/>
    </row>
    <row r="63" spans="1:76">
      <c r="A63" s="86">
        <f>A61+1</f>
        <v>18</v>
      </c>
      <c r="B63" s="3" t="s">
        <v>54</v>
      </c>
      <c r="C63" s="3" t="s">
        <v>142</v>
      </c>
      <c r="D63" s="199" t="s">
        <v>143</v>
      </c>
      <c r="E63" s="200"/>
      <c r="F63" s="3" t="s">
        <v>109</v>
      </c>
      <c r="G63" s="31">
        <v>272.60000000000002</v>
      </c>
      <c r="H63" s="31">
        <v>0</v>
      </c>
      <c r="I63" s="32">
        <v>21</v>
      </c>
      <c r="J63" s="31">
        <f>ROUND(G63*AO63,2)</f>
        <v>0</v>
      </c>
      <c r="K63" s="31">
        <f>ROUND(G63*AP63,2)</f>
        <v>0</v>
      </c>
      <c r="L63" s="31">
        <f>ROUND(G63*H63,2)</f>
        <v>0</v>
      </c>
      <c r="M63" s="31">
        <f>L63*(1+BW63/100)</f>
        <v>0</v>
      </c>
      <c r="N63" s="31">
        <v>6.0000000000000002E-5</v>
      </c>
      <c r="O63" s="31">
        <f>G63*N63</f>
        <v>1.6356000000000002E-2</v>
      </c>
      <c r="P63" s="33" t="s">
        <v>61</v>
      </c>
      <c r="Z63" s="31">
        <f>ROUND(IF(AQ63="5",BJ63,0),2)</f>
        <v>0</v>
      </c>
      <c r="AB63" s="31">
        <f>ROUND(IF(AQ63="1",BH63,0),2)</f>
        <v>0</v>
      </c>
      <c r="AC63" s="31">
        <f>ROUND(IF(AQ63="1",BI63,0),2)</f>
        <v>0</v>
      </c>
      <c r="AD63" s="31">
        <f>ROUND(IF(AQ63="7",BH63,0),2)</f>
        <v>0</v>
      </c>
      <c r="AE63" s="31">
        <f>ROUND(IF(AQ63="7",BI63,0),2)</f>
        <v>0</v>
      </c>
      <c r="AF63" s="31">
        <f>ROUND(IF(AQ63="2",BH63,0),2)</f>
        <v>0</v>
      </c>
      <c r="AG63" s="31">
        <f>ROUND(IF(AQ63="2",BI63,0),2)</f>
        <v>0</v>
      </c>
      <c r="AH63" s="31">
        <f>ROUND(IF(AQ63="0",BJ63,0),2)</f>
        <v>0</v>
      </c>
      <c r="AI63" s="12" t="s">
        <v>54</v>
      </c>
      <c r="AJ63" s="31">
        <f>IF(AN63=0,L63,0)</f>
        <v>0</v>
      </c>
      <c r="AK63" s="31">
        <f>IF(AN63=12,L63,0)</f>
        <v>0</v>
      </c>
      <c r="AL63" s="31">
        <f>IF(AN63=21,L63,0)</f>
        <v>0</v>
      </c>
      <c r="AN63" s="31">
        <v>21</v>
      </c>
      <c r="AO63" s="31">
        <f>H63*0.094876498</f>
        <v>0</v>
      </c>
      <c r="AP63" s="31">
        <f>H63*(1-0.094876498)</f>
        <v>0</v>
      </c>
      <c r="AQ63" s="34" t="s">
        <v>80</v>
      </c>
      <c r="AV63" s="31">
        <f>ROUND(AW63+AX63,2)</f>
        <v>0</v>
      </c>
      <c r="AW63" s="31">
        <f>ROUND(G63*AO63,2)</f>
        <v>0</v>
      </c>
      <c r="AX63" s="31">
        <f>ROUND(G63*AP63,2)</f>
        <v>0</v>
      </c>
      <c r="AY63" s="34" t="s">
        <v>139</v>
      </c>
      <c r="AZ63" s="34" t="s">
        <v>140</v>
      </c>
      <c r="BA63" s="12" t="s">
        <v>64</v>
      </c>
      <c r="BC63" s="31">
        <f>AW63+AX63</f>
        <v>0</v>
      </c>
      <c r="BD63" s="31">
        <f>H63/(100-BE63)*100</f>
        <v>0</v>
      </c>
      <c r="BE63" s="31">
        <v>0</v>
      </c>
      <c r="BF63" s="31">
        <f>O63</f>
        <v>1.6356000000000002E-2</v>
      </c>
      <c r="BH63" s="31">
        <f>G63*AO63</f>
        <v>0</v>
      </c>
      <c r="BI63" s="31">
        <f>G63*AP63</f>
        <v>0</v>
      </c>
      <c r="BJ63" s="31">
        <f>G63*H63</f>
        <v>0</v>
      </c>
      <c r="BK63" s="34" t="s">
        <v>65</v>
      </c>
      <c r="BL63" s="31">
        <v>767</v>
      </c>
      <c r="BW63" s="31">
        <f>I63</f>
        <v>21</v>
      </c>
      <c r="BX63" s="4" t="s">
        <v>143</v>
      </c>
    </row>
    <row r="64" spans="1:76">
      <c r="A64" s="35"/>
      <c r="D64" s="36" t="s">
        <v>144</v>
      </c>
      <c r="E64" s="36" t="s">
        <v>54</v>
      </c>
      <c r="G64" s="37">
        <v>272.60000000000002</v>
      </c>
      <c r="P64" s="38"/>
    </row>
    <row r="65" spans="1:76">
      <c r="A65" s="86">
        <f>A63+1</f>
        <v>19</v>
      </c>
      <c r="B65" s="3" t="s">
        <v>54</v>
      </c>
      <c r="C65" s="3" t="s">
        <v>145</v>
      </c>
      <c r="D65" s="199" t="s">
        <v>146</v>
      </c>
      <c r="E65" s="200"/>
      <c r="F65" s="3" t="s">
        <v>147</v>
      </c>
      <c r="G65" s="31">
        <v>58</v>
      </c>
      <c r="H65" s="31">
        <v>0</v>
      </c>
      <c r="I65" s="32">
        <v>21</v>
      </c>
      <c r="J65" s="31">
        <f>ROUND(G65*AO65,2)</f>
        <v>0</v>
      </c>
      <c r="K65" s="31">
        <f>ROUND(G65*AP65,2)</f>
        <v>0</v>
      </c>
      <c r="L65" s="31">
        <f>ROUND(G65*H65,2)</f>
        <v>0</v>
      </c>
      <c r="M65" s="31">
        <f>L65*(1+BW65/100)</f>
        <v>0</v>
      </c>
      <c r="N65" s="31">
        <v>4.8000000000000001E-4</v>
      </c>
      <c r="O65" s="31">
        <f>G65*N65</f>
        <v>2.784E-2</v>
      </c>
      <c r="P65" s="33" t="s">
        <v>61</v>
      </c>
      <c r="Z65" s="31">
        <f>ROUND(IF(AQ65="5",BJ65,0),2)</f>
        <v>0</v>
      </c>
      <c r="AB65" s="31">
        <f>ROUND(IF(AQ65="1",BH65,0),2)</f>
        <v>0</v>
      </c>
      <c r="AC65" s="31">
        <f>ROUND(IF(AQ65="1",BI65,0),2)</f>
        <v>0</v>
      </c>
      <c r="AD65" s="31">
        <f>ROUND(IF(AQ65="7",BH65,0),2)</f>
        <v>0</v>
      </c>
      <c r="AE65" s="31">
        <f>ROUND(IF(AQ65="7",BI65,0),2)</f>
        <v>0</v>
      </c>
      <c r="AF65" s="31">
        <f>ROUND(IF(AQ65="2",BH65,0),2)</f>
        <v>0</v>
      </c>
      <c r="AG65" s="31">
        <f>ROUND(IF(AQ65="2",BI65,0),2)</f>
        <v>0</v>
      </c>
      <c r="AH65" s="31">
        <f>ROUND(IF(AQ65="0",BJ65,0),2)</f>
        <v>0</v>
      </c>
      <c r="AI65" s="12" t="s">
        <v>54</v>
      </c>
      <c r="AJ65" s="31">
        <f>IF(AN65=0,L65,0)</f>
        <v>0</v>
      </c>
      <c r="AK65" s="31">
        <f>IF(AN65=12,L65,0)</f>
        <v>0</v>
      </c>
      <c r="AL65" s="31">
        <f>IF(AN65=21,L65,0)</f>
        <v>0</v>
      </c>
      <c r="AN65" s="31">
        <v>21</v>
      </c>
      <c r="AO65" s="31">
        <f>H65*0.560878477</f>
        <v>0</v>
      </c>
      <c r="AP65" s="31">
        <f>H65*(1-0.560878477)</f>
        <v>0</v>
      </c>
      <c r="AQ65" s="34" t="s">
        <v>80</v>
      </c>
      <c r="AV65" s="31">
        <f>ROUND(AW65+AX65,2)</f>
        <v>0</v>
      </c>
      <c r="AW65" s="31">
        <f>ROUND(G65*AO65,2)</f>
        <v>0</v>
      </c>
      <c r="AX65" s="31">
        <f>ROUND(G65*AP65,2)</f>
        <v>0</v>
      </c>
      <c r="AY65" s="34" t="s">
        <v>139</v>
      </c>
      <c r="AZ65" s="34" t="s">
        <v>140</v>
      </c>
      <c r="BA65" s="12" t="s">
        <v>64</v>
      </c>
      <c r="BC65" s="31">
        <f>AW65+AX65</f>
        <v>0</v>
      </c>
      <c r="BD65" s="31">
        <f>H65/(100-BE65)*100</f>
        <v>0</v>
      </c>
      <c r="BE65" s="31">
        <v>0</v>
      </c>
      <c r="BF65" s="31">
        <f>O65</f>
        <v>2.784E-2</v>
      </c>
      <c r="BH65" s="31">
        <f>G65*AO65</f>
        <v>0</v>
      </c>
      <c r="BI65" s="31">
        <f>G65*AP65</f>
        <v>0</v>
      </c>
      <c r="BJ65" s="31">
        <f>G65*H65</f>
        <v>0</v>
      </c>
      <c r="BK65" s="34" t="s">
        <v>65</v>
      </c>
      <c r="BL65" s="31">
        <v>767</v>
      </c>
      <c r="BW65" s="31">
        <f>I65</f>
        <v>21</v>
      </c>
      <c r="BX65" s="4" t="s">
        <v>146</v>
      </c>
    </row>
    <row r="66" spans="1:76">
      <c r="A66" s="35"/>
      <c r="D66" s="153" t="s">
        <v>148</v>
      </c>
      <c r="E66" s="153" t="s">
        <v>54</v>
      </c>
      <c r="F66" s="154"/>
      <c r="G66" s="155">
        <v>58</v>
      </c>
      <c r="H66" s="154"/>
      <c r="P66" s="38"/>
    </row>
    <row r="67" spans="1:76">
      <c r="A67" s="86">
        <f>A65+1</f>
        <v>20</v>
      </c>
      <c r="B67" s="3" t="s">
        <v>54</v>
      </c>
      <c r="C67" s="3" t="s">
        <v>149</v>
      </c>
      <c r="D67" s="239" t="s">
        <v>150</v>
      </c>
      <c r="E67" s="240"/>
      <c r="F67" s="151" t="s">
        <v>147</v>
      </c>
      <c r="G67" s="152">
        <v>10</v>
      </c>
      <c r="H67" s="152">
        <v>0</v>
      </c>
      <c r="I67" s="32">
        <v>21</v>
      </c>
      <c r="J67" s="31">
        <f>ROUND(G67*AO67,2)</f>
        <v>0</v>
      </c>
      <c r="K67" s="31">
        <f>ROUND(G67*AP67,2)</f>
        <v>0</v>
      </c>
      <c r="L67" s="31">
        <f>ROUND(G67*H67,2)</f>
        <v>0</v>
      </c>
      <c r="M67" s="31">
        <f>L67*(1+BW67/100)</f>
        <v>0</v>
      </c>
      <c r="N67" s="31">
        <v>6.0000000000000002E-5</v>
      </c>
      <c r="O67" s="31">
        <f>G67*N67</f>
        <v>6.0000000000000006E-4</v>
      </c>
      <c r="P67" s="33" t="s">
        <v>61</v>
      </c>
      <c r="Z67" s="31">
        <f>ROUND(IF(AQ67="5",BJ67,0),2)</f>
        <v>0</v>
      </c>
      <c r="AB67" s="31">
        <f>ROUND(IF(AQ67="1",BH67,0),2)</f>
        <v>0</v>
      </c>
      <c r="AC67" s="31">
        <f>ROUND(IF(AQ67="1",BI67,0),2)</f>
        <v>0</v>
      </c>
      <c r="AD67" s="31">
        <f>ROUND(IF(AQ67="7",BH67,0),2)</f>
        <v>0</v>
      </c>
      <c r="AE67" s="31">
        <f>ROUND(IF(AQ67="7",BI67,0),2)</f>
        <v>0</v>
      </c>
      <c r="AF67" s="31">
        <f>ROUND(IF(AQ67="2",BH67,0),2)</f>
        <v>0</v>
      </c>
      <c r="AG67" s="31">
        <f>ROUND(IF(AQ67="2",BI67,0),2)</f>
        <v>0</v>
      </c>
      <c r="AH67" s="31">
        <f>ROUND(IF(AQ67="0",BJ67,0),2)</f>
        <v>0</v>
      </c>
      <c r="AI67" s="12" t="s">
        <v>54</v>
      </c>
      <c r="AJ67" s="31">
        <f>IF(AN67=0,L67,0)</f>
        <v>0</v>
      </c>
      <c r="AK67" s="31">
        <f>IF(AN67=12,L67,0)</f>
        <v>0</v>
      </c>
      <c r="AL67" s="31">
        <f>IF(AN67=21,L67,0)</f>
        <v>0</v>
      </c>
      <c r="AN67" s="31">
        <v>21</v>
      </c>
      <c r="AO67" s="31">
        <f>H67*0.238481013</f>
        <v>0</v>
      </c>
      <c r="AP67" s="31">
        <f>H67*(1-0.238481013)</f>
        <v>0</v>
      </c>
      <c r="AQ67" s="34" t="s">
        <v>80</v>
      </c>
      <c r="AV67" s="31">
        <f>ROUND(AW67+AX67,2)</f>
        <v>0</v>
      </c>
      <c r="AW67" s="31">
        <f>ROUND(G67*AO67,2)</f>
        <v>0</v>
      </c>
      <c r="AX67" s="31">
        <f>ROUND(G67*AP67,2)</f>
        <v>0</v>
      </c>
      <c r="AY67" s="34" t="s">
        <v>139</v>
      </c>
      <c r="AZ67" s="34" t="s">
        <v>140</v>
      </c>
      <c r="BA67" s="12" t="s">
        <v>64</v>
      </c>
      <c r="BC67" s="31">
        <f>AW67+AX67</f>
        <v>0</v>
      </c>
      <c r="BD67" s="31">
        <f>H67/(100-BE67)*100</f>
        <v>0</v>
      </c>
      <c r="BE67" s="31">
        <v>0</v>
      </c>
      <c r="BF67" s="31">
        <f>O67</f>
        <v>6.0000000000000006E-4</v>
      </c>
      <c r="BH67" s="31">
        <f>G67*AO67</f>
        <v>0</v>
      </c>
      <c r="BI67" s="31">
        <f>G67*AP67</f>
        <v>0</v>
      </c>
      <c r="BJ67" s="31">
        <f>G67*H67</f>
        <v>0</v>
      </c>
      <c r="BK67" s="34" t="s">
        <v>65</v>
      </c>
      <c r="BL67" s="31">
        <v>767</v>
      </c>
      <c r="BW67" s="31">
        <f>I67</f>
        <v>21</v>
      </c>
      <c r="BX67" s="4" t="s">
        <v>150</v>
      </c>
    </row>
    <row r="68" spans="1:76">
      <c r="A68" s="35"/>
      <c r="D68" s="153" t="s">
        <v>151</v>
      </c>
      <c r="E68" s="153" t="s">
        <v>54</v>
      </c>
      <c r="F68" s="154"/>
      <c r="G68" s="155">
        <v>10</v>
      </c>
      <c r="H68" s="154"/>
      <c r="P68" s="38"/>
    </row>
    <row r="69" spans="1:76">
      <c r="A69" s="86">
        <f>A67+1</f>
        <v>21</v>
      </c>
      <c r="B69" s="3" t="s">
        <v>54</v>
      </c>
      <c r="C69" s="3" t="s">
        <v>153</v>
      </c>
      <c r="D69" s="239" t="s">
        <v>461</v>
      </c>
      <c r="E69" s="240"/>
      <c r="F69" s="151" t="s">
        <v>109</v>
      </c>
      <c r="G69" s="152">
        <v>125.256</v>
      </c>
      <c r="H69" s="152">
        <v>0</v>
      </c>
      <c r="I69" s="32">
        <v>21</v>
      </c>
      <c r="J69" s="31">
        <f>ROUND(G69*AO69,2)</f>
        <v>0</v>
      </c>
      <c r="K69" s="31">
        <f>ROUND(G69*AP69,2)</f>
        <v>0</v>
      </c>
      <c r="L69" s="31">
        <f>ROUND(G69*H69,2)</f>
        <v>0</v>
      </c>
      <c r="M69" s="31">
        <f>L69*(1+BW69/100)</f>
        <v>0</v>
      </c>
      <c r="N69" s="31">
        <v>5.0000000000000002E-5</v>
      </c>
      <c r="O69" s="31">
        <f>G69*N69</f>
        <v>6.2628000000000007E-3</v>
      </c>
      <c r="P69" s="33" t="s">
        <v>61</v>
      </c>
      <c r="Z69" s="31">
        <f>ROUND(IF(AQ69="5",BJ69,0),2)</f>
        <v>0</v>
      </c>
      <c r="AB69" s="31">
        <f>ROUND(IF(AQ69="1",BH69,0),2)</f>
        <v>0</v>
      </c>
      <c r="AC69" s="31">
        <f>ROUND(IF(AQ69="1",BI69,0),2)</f>
        <v>0</v>
      </c>
      <c r="AD69" s="31">
        <f>ROUND(IF(AQ69="7",BH69,0),2)</f>
        <v>0</v>
      </c>
      <c r="AE69" s="31">
        <f>ROUND(IF(AQ69="7",BI69,0),2)</f>
        <v>0</v>
      </c>
      <c r="AF69" s="31">
        <f>ROUND(IF(AQ69="2",BH69,0),2)</f>
        <v>0</v>
      </c>
      <c r="AG69" s="31">
        <f>ROUND(IF(AQ69="2",BI69,0),2)</f>
        <v>0</v>
      </c>
      <c r="AH69" s="31">
        <f>ROUND(IF(AQ69="0",BJ69,0),2)</f>
        <v>0</v>
      </c>
      <c r="AI69" s="12" t="s">
        <v>54</v>
      </c>
      <c r="AJ69" s="31">
        <f>IF(AN69=0,L69,0)</f>
        <v>0</v>
      </c>
      <c r="AK69" s="31">
        <f>IF(AN69=12,L69,0)</f>
        <v>0</v>
      </c>
      <c r="AL69" s="31">
        <f>IF(AN69=21,L69,0)</f>
        <v>0</v>
      </c>
      <c r="AN69" s="31">
        <v>21</v>
      </c>
      <c r="AO69" s="31">
        <f>H69*0.360240256</f>
        <v>0</v>
      </c>
      <c r="AP69" s="31">
        <f>H69*(1-0.360240256)</f>
        <v>0</v>
      </c>
      <c r="AQ69" s="34" t="s">
        <v>80</v>
      </c>
      <c r="AV69" s="31">
        <f>ROUND(AW69+AX69,2)</f>
        <v>0</v>
      </c>
      <c r="AW69" s="31">
        <f>ROUND(G69*AO69,2)</f>
        <v>0</v>
      </c>
      <c r="AX69" s="31">
        <f>ROUND(G69*AP69,2)</f>
        <v>0</v>
      </c>
      <c r="AY69" s="34" t="s">
        <v>139</v>
      </c>
      <c r="AZ69" s="34" t="s">
        <v>140</v>
      </c>
      <c r="BA69" s="12" t="s">
        <v>64</v>
      </c>
      <c r="BC69" s="31">
        <f>AW69+AX69</f>
        <v>0</v>
      </c>
      <c r="BD69" s="31">
        <f>H69/(100-BE69)*100</f>
        <v>0</v>
      </c>
      <c r="BE69" s="31">
        <v>0</v>
      </c>
      <c r="BF69" s="31">
        <f>O69</f>
        <v>6.2628000000000007E-3</v>
      </c>
      <c r="BH69" s="31">
        <f>G69*AO69</f>
        <v>0</v>
      </c>
      <c r="BI69" s="31">
        <f>G69*AP69</f>
        <v>0</v>
      </c>
      <c r="BJ69" s="31">
        <f>G69*H69</f>
        <v>0</v>
      </c>
      <c r="BK69" s="34" t="s">
        <v>65</v>
      </c>
      <c r="BL69" s="31">
        <v>767</v>
      </c>
      <c r="BW69" s="31">
        <f>I69</f>
        <v>21</v>
      </c>
      <c r="BX69" s="4" t="s">
        <v>154</v>
      </c>
    </row>
    <row r="70" spans="1:76">
      <c r="A70" s="89"/>
      <c r="B70" s="90"/>
      <c r="C70" s="90"/>
      <c r="D70" s="153" t="s">
        <v>460</v>
      </c>
      <c r="E70" s="153" t="s">
        <v>54</v>
      </c>
      <c r="F70" s="154"/>
      <c r="G70" s="155">
        <v>125.256</v>
      </c>
      <c r="H70" s="140"/>
      <c r="I70" s="131"/>
      <c r="J70" s="130"/>
      <c r="K70" s="130"/>
      <c r="L70" s="130"/>
      <c r="M70" s="130"/>
      <c r="N70" s="130"/>
      <c r="O70" s="130"/>
      <c r="P70" s="132"/>
      <c r="Z70" s="130"/>
      <c r="AB70" s="130"/>
      <c r="AC70" s="130"/>
      <c r="AD70" s="130"/>
      <c r="AE70" s="130"/>
      <c r="AF70" s="130"/>
      <c r="AG70" s="130"/>
      <c r="AH70" s="130"/>
      <c r="AI70" s="133"/>
      <c r="AJ70" s="130"/>
      <c r="AK70" s="130"/>
      <c r="AL70" s="130"/>
      <c r="AN70" s="130"/>
      <c r="AO70" s="130"/>
      <c r="AP70" s="130"/>
      <c r="AQ70" s="134"/>
      <c r="AV70" s="130"/>
      <c r="AW70" s="130"/>
      <c r="AX70" s="130"/>
      <c r="AY70" s="134"/>
      <c r="AZ70" s="134"/>
      <c r="BA70" s="133"/>
      <c r="BC70" s="130"/>
      <c r="BD70" s="130"/>
      <c r="BE70" s="130"/>
      <c r="BF70" s="130"/>
      <c r="BH70" s="130"/>
      <c r="BI70" s="130"/>
      <c r="BJ70" s="130"/>
      <c r="BK70" s="134"/>
      <c r="BL70" s="130"/>
      <c r="BW70" s="130"/>
      <c r="BX70" s="129"/>
    </row>
    <row r="71" spans="1:76">
      <c r="A71" s="2">
        <f>A69+1</f>
        <v>22</v>
      </c>
      <c r="B71" s="3" t="s">
        <v>54</v>
      </c>
      <c r="C71" s="3" t="s">
        <v>142</v>
      </c>
      <c r="D71" s="239" t="s">
        <v>156</v>
      </c>
      <c r="E71" s="240"/>
      <c r="F71" s="151" t="s">
        <v>109</v>
      </c>
      <c r="G71" s="152">
        <v>50</v>
      </c>
      <c r="H71" s="152">
        <v>0</v>
      </c>
      <c r="I71" s="32">
        <v>21</v>
      </c>
      <c r="J71" s="31">
        <f>ROUND(G71*AO71,2)</f>
        <v>0</v>
      </c>
      <c r="K71" s="31">
        <f>ROUND(G71*AP71,2)</f>
        <v>0</v>
      </c>
      <c r="L71" s="31">
        <f>ROUND(G71*H71,2)</f>
        <v>0</v>
      </c>
      <c r="M71" s="31">
        <f>L71*(1+BW71/100)</f>
        <v>0</v>
      </c>
      <c r="N71" s="31">
        <v>6.0000000000000002E-5</v>
      </c>
      <c r="O71" s="31">
        <f>G71*N71</f>
        <v>3.0000000000000001E-3</v>
      </c>
      <c r="P71" s="33" t="s">
        <v>61</v>
      </c>
      <c r="Z71" s="31">
        <f>ROUND(IF(AQ71="5",BJ71,0),2)</f>
        <v>0</v>
      </c>
      <c r="AB71" s="31">
        <f>ROUND(IF(AQ71="1",BH71,0),2)</f>
        <v>0</v>
      </c>
      <c r="AC71" s="31">
        <f>ROUND(IF(AQ71="1",BI71,0),2)</f>
        <v>0</v>
      </c>
      <c r="AD71" s="31">
        <f>ROUND(IF(AQ71="7",BH71,0),2)</f>
        <v>0</v>
      </c>
      <c r="AE71" s="31">
        <f>ROUND(IF(AQ71="7",BI71,0),2)</f>
        <v>0</v>
      </c>
      <c r="AF71" s="31">
        <f>ROUND(IF(AQ71="2",BH71,0),2)</f>
        <v>0</v>
      </c>
      <c r="AG71" s="31">
        <f>ROUND(IF(AQ71="2",BI71,0),2)</f>
        <v>0</v>
      </c>
      <c r="AH71" s="31">
        <f>ROUND(IF(AQ71="0",BJ71,0),2)</f>
        <v>0</v>
      </c>
      <c r="AI71" s="12" t="s">
        <v>54</v>
      </c>
      <c r="AJ71" s="31">
        <f>IF(AN71=0,L71,0)</f>
        <v>0</v>
      </c>
      <c r="AK71" s="31">
        <f>IF(AN71=12,L71,0)</f>
        <v>0</v>
      </c>
      <c r="AL71" s="31">
        <f>IF(AN71=21,L71,0)</f>
        <v>0</v>
      </c>
      <c r="AN71" s="31">
        <v>21</v>
      </c>
      <c r="AO71" s="31">
        <f>H71*0.20495581</f>
        <v>0</v>
      </c>
      <c r="AP71" s="31">
        <f>H71*(1-0.20495581)</f>
        <v>0</v>
      </c>
      <c r="AQ71" s="34" t="s">
        <v>80</v>
      </c>
      <c r="AV71" s="31">
        <f>ROUND(AW71+AX71,2)</f>
        <v>0</v>
      </c>
      <c r="AW71" s="31">
        <f>ROUND(G71*AO71,2)</f>
        <v>0</v>
      </c>
      <c r="AX71" s="31">
        <f>ROUND(G71*AP71,2)</f>
        <v>0</v>
      </c>
      <c r="AY71" s="34" t="s">
        <v>139</v>
      </c>
      <c r="AZ71" s="34" t="s">
        <v>140</v>
      </c>
      <c r="BA71" s="12" t="s">
        <v>64</v>
      </c>
      <c r="BC71" s="31">
        <f>AW71+AX71</f>
        <v>0</v>
      </c>
      <c r="BD71" s="31">
        <f>H71/(100-BE71)*100</f>
        <v>0</v>
      </c>
      <c r="BE71" s="31">
        <v>0</v>
      </c>
      <c r="BF71" s="31">
        <f>O71</f>
        <v>3.0000000000000001E-3</v>
      </c>
      <c r="BH71" s="31">
        <f>G71*AO71</f>
        <v>0</v>
      </c>
      <c r="BI71" s="31">
        <f>G71*AP71</f>
        <v>0</v>
      </c>
      <c r="BJ71" s="31">
        <f>G71*H71</f>
        <v>0</v>
      </c>
      <c r="BK71" s="34" t="s">
        <v>65</v>
      </c>
      <c r="BL71" s="31">
        <v>767</v>
      </c>
      <c r="BW71" s="31">
        <f>I71</f>
        <v>21</v>
      </c>
      <c r="BX71" s="4" t="s">
        <v>156</v>
      </c>
    </row>
    <row r="72" spans="1:76">
      <c r="A72" s="35"/>
      <c r="D72" s="153" t="s">
        <v>157</v>
      </c>
      <c r="E72" s="153" t="s">
        <v>54</v>
      </c>
      <c r="F72" s="154"/>
      <c r="G72" s="155">
        <v>50</v>
      </c>
      <c r="H72" s="154"/>
      <c r="P72" s="38"/>
    </row>
    <row r="73" spans="1:76">
      <c r="A73" s="86">
        <f>A71+1</f>
        <v>23</v>
      </c>
      <c r="B73" s="87" t="s">
        <v>54</v>
      </c>
      <c r="C73" s="135" t="s">
        <v>468</v>
      </c>
      <c r="D73" s="239" t="s">
        <v>279</v>
      </c>
      <c r="E73" s="240"/>
      <c r="F73" s="151" t="s">
        <v>112</v>
      </c>
      <c r="G73" s="152">
        <v>10</v>
      </c>
      <c r="H73" s="152">
        <v>0</v>
      </c>
      <c r="I73" s="32">
        <v>21</v>
      </c>
      <c r="J73" s="31">
        <f>ROUND(G73*AO73,2)</f>
        <v>0</v>
      </c>
      <c r="K73" s="31">
        <f>ROUND(G73*AP73,2)</f>
        <v>0</v>
      </c>
      <c r="L73" s="31">
        <f>ROUND(G73*H73,2)</f>
        <v>0</v>
      </c>
      <c r="M73" s="31">
        <f>L73*(1+BW73/100)</f>
        <v>0</v>
      </c>
      <c r="N73" s="31">
        <v>0</v>
      </c>
      <c r="O73" s="31">
        <f>G73*N73</f>
        <v>0</v>
      </c>
      <c r="P73" s="33" t="s">
        <v>54</v>
      </c>
      <c r="Z73" s="31">
        <f>ROUND(IF(AQ73="5",BJ73,0),2)</f>
        <v>0</v>
      </c>
      <c r="AB73" s="31">
        <f>ROUND(IF(AQ73="1",BH73,0),2)</f>
        <v>0</v>
      </c>
      <c r="AC73" s="31">
        <f>ROUND(IF(AQ73="1",BI73,0),2)</f>
        <v>0</v>
      </c>
      <c r="AD73" s="31">
        <f>ROUND(IF(AQ73="7",BH73,0),2)</f>
        <v>0</v>
      </c>
      <c r="AE73" s="31">
        <f>ROUND(IF(AQ73="7",BI73,0),2)</f>
        <v>0</v>
      </c>
      <c r="AF73" s="31">
        <f>ROUND(IF(AQ73="2",BH73,0),2)</f>
        <v>0</v>
      </c>
      <c r="AG73" s="31">
        <f>ROUND(IF(AQ73="2",BI73,0),2)</f>
        <v>0</v>
      </c>
      <c r="AH73" s="31">
        <f>ROUND(IF(AQ73="0",BJ73,0),2)</f>
        <v>0</v>
      </c>
      <c r="AI73" s="12" t="s">
        <v>54</v>
      </c>
      <c r="AJ73" s="31">
        <f>IF(AN73=0,L73,0)</f>
        <v>0</v>
      </c>
      <c r="AK73" s="31">
        <f>IF(AN73=12,L73,0)</f>
        <v>0</v>
      </c>
      <c r="AL73" s="31">
        <f>IF(AN73=21,L73,0)</f>
        <v>0</v>
      </c>
      <c r="AN73" s="31">
        <v>21</v>
      </c>
      <c r="AO73" s="31">
        <f>H73*1</f>
        <v>0</v>
      </c>
      <c r="AP73" s="31">
        <f>H73*(1-1)</f>
        <v>0</v>
      </c>
      <c r="AQ73" s="34" t="s">
        <v>57</v>
      </c>
      <c r="AV73" s="31">
        <f>ROUND(AW73+AX73,2)</f>
        <v>0</v>
      </c>
      <c r="AW73" s="31">
        <f>ROUND(G73*AO73,2)</f>
        <v>0</v>
      </c>
      <c r="AX73" s="31">
        <f>ROUND(G73*AP73,2)</f>
        <v>0</v>
      </c>
      <c r="AY73" s="34" t="s">
        <v>214</v>
      </c>
      <c r="AZ73" s="34" t="s">
        <v>180</v>
      </c>
      <c r="BA73" s="12" t="s">
        <v>64</v>
      </c>
      <c r="BC73" s="31">
        <f>AW73+AX73</f>
        <v>0</v>
      </c>
      <c r="BD73" s="31">
        <f>H73/(100-BE73)*100</f>
        <v>0</v>
      </c>
      <c r="BE73" s="31">
        <v>0</v>
      </c>
      <c r="BF73" s="31">
        <f>O73</f>
        <v>0</v>
      </c>
      <c r="BH73" s="31">
        <f>G73*AO73</f>
        <v>0</v>
      </c>
      <c r="BI73" s="31">
        <f>G73*AP73</f>
        <v>0</v>
      </c>
      <c r="BJ73" s="31">
        <f>G73*H73</f>
        <v>0</v>
      </c>
      <c r="BK73" s="34" t="s">
        <v>98</v>
      </c>
      <c r="BL73" s="31"/>
      <c r="BW73" s="31">
        <f>I73</f>
        <v>21</v>
      </c>
      <c r="BX73" s="88" t="s">
        <v>279</v>
      </c>
    </row>
    <row r="74" spans="1:76">
      <c r="A74" s="86">
        <f>A73+1</f>
        <v>24</v>
      </c>
      <c r="B74" s="3" t="s">
        <v>54</v>
      </c>
      <c r="C74" s="3" t="s">
        <v>159</v>
      </c>
      <c r="D74" s="239" t="s">
        <v>160</v>
      </c>
      <c r="E74" s="240"/>
      <c r="F74" s="151" t="s">
        <v>112</v>
      </c>
      <c r="G74" s="152">
        <v>2.4</v>
      </c>
      <c r="H74" s="152">
        <v>0</v>
      </c>
      <c r="I74" s="32">
        <v>21</v>
      </c>
      <c r="J74" s="31">
        <f>ROUND(G74*AO74,2)</f>
        <v>0</v>
      </c>
      <c r="K74" s="31">
        <f>ROUND(G74*AP74,2)</f>
        <v>0</v>
      </c>
      <c r="L74" s="31">
        <f>ROUND(G74*H74,2)</f>
        <v>0</v>
      </c>
      <c r="M74" s="31">
        <f>L74*(1+BW74/100)</f>
        <v>0</v>
      </c>
      <c r="N74" s="31">
        <v>0</v>
      </c>
      <c r="O74" s="31">
        <f>G74*N74</f>
        <v>0</v>
      </c>
      <c r="P74" s="33" t="s">
        <v>61</v>
      </c>
      <c r="Z74" s="31">
        <f>ROUND(IF(AQ74="5",BJ74,0),2)</f>
        <v>0</v>
      </c>
      <c r="AB74" s="31">
        <f>ROUND(IF(AQ74="1",BH74,0),2)</f>
        <v>0</v>
      </c>
      <c r="AC74" s="31">
        <f>ROUND(IF(AQ74="1",BI74,0),2)</f>
        <v>0</v>
      </c>
      <c r="AD74" s="31">
        <f>ROUND(IF(AQ74="7",BH74,0),2)</f>
        <v>0</v>
      </c>
      <c r="AE74" s="31">
        <f>ROUND(IF(AQ74="7",BI74,0),2)</f>
        <v>0</v>
      </c>
      <c r="AF74" s="31">
        <f>ROUND(IF(AQ74="2",BH74,0),2)</f>
        <v>0</v>
      </c>
      <c r="AG74" s="31">
        <f>ROUND(IF(AQ74="2",BI74,0),2)</f>
        <v>0</v>
      </c>
      <c r="AH74" s="31">
        <f>ROUND(IF(AQ74="0",BJ74,0),2)</f>
        <v>0</v>
      </c>
      <c r="AI74" s="12" t="s">
        <v>54</v>
      </c>
      <c r="AJ74" s="31">
        <f>IF(AN74=0,L74,0)</f>
        <v>0</v>
      </c>
      <c r="AK74" s="31">
        <f>IF(AN74=12,L74,0)</f>
        <v>0</v>
      </c>
      <c r="AL74" s="31">
        <f>IF(AN74=21,L74,0)</f>
        <v>0</v>
      </c>
      <c r="AN74" s="31">
        <v>21</v>
      </c>
      <c r="AO74" s="31">
        <f>H74*0</f>
        <v>0</v>
      </c>
      <c r="AP74" s="31">
        <f>H74*(1-0)</f>
        <v>0</v>
      </c>
      <c r="AQ74" s="34" t="s">
        <v>90</v>
      </c>
      <c r="AV74" s="31">
        <f>ROUND(AW74+AX74,2)</f>
        <v>0</v>
      </c>
      <c r="AW74" s="31">
        <f>ROUND(G74*AO74,2)</f>
        <v>0</v>
      </c>
      <c r="AX74" s="31">
        <f>ROUND(G74*AP74,2)</f>
        <v>0</v>
      </c>
      <c r="AY74" s="34" t="s">
        <v>139</v>
      </c>
      <c r="AZ74" s="34" t="s">
        <v>140</v>
      </c>
      <c r="BA74" s="12" t="s">
        <v>64</v>
      </c>
      <c r="BC74" s="31">
        <f>AW74+AX74</f>
        <v>0</v>
      </c>
      <c r="BD74" s="31">
        <f>H74/(100-BE74)*100</f>
        <v>0</v>
      </c>
      <c r="BE74" s="31">
        <v>0</v>
      </c>
      <c r="BF74" s="31">
        <f>O74</f>
        <v>0</v>
      </c>
      <c r="BH74" s="31">
        <f>G74*AO74</f>
        <v>0</v>
      </c>
      <c r="BI74" s="31">
        <f>G74*AP74</f>
        <v>0</v>
      </c>
      <c r="BJ74" s="31">
        <f>G74*H74</f>
        <v>0</v>
      </c>
      <c r="BK74" s="34" t="s">
        <v>65</v>
      </c>
      <c r="BL74" s="31">
        <v>767</v>
      </c>
      <c r="BW74" s="31">
        <f>I74</f>
        <v>21</v>
      </c>
      <c r="BX74" s="4" t="s">
        <v>160</v>
      </c>
    </row>
    <row r="75" spans="1:76">
      <c r="A75" s="39" t="s">
        <v>54</v>
      </c>
      <c r="B75" s="40" t="s">
        <v>54</v>
      </c>
      <c r="C75" s="40" t="s">
        <v>161</v>
      </c>
      <c r="D75" s="246" t="s">
        <v>162</v>
      </c>
      <c r="E75" s="247"/>
      <c r="F75" s="41" t="s">
        <v>4</v>
      </c>
      <c r="G75" s="41" t="s">
        <v>4</v>
      </c>
      <c r="H75" s="41" t="s">
        <v>4</v>
      </c>
      <c r="I75" s="41" t="s">
        <v>4</v>
      </c>
      <c r="J75" s="1">
        <f>SUM(J76:J82)</f>
        <v>0</v>
      </c>
      <c r="K75" s="1">
        <f>SUM(K76:K82)</f>
        <v>0</v>
      </c>
      <c r="L75" s="1">
        <f>SUM(L76:L82)</f>
        <v>0</v>
      </c>
      <c r="M75" s="1">
        <f>SUM(M76:M82)</f>
        <v>0</v>
      </c>
      <c r="N75" s="12" t="s">
        <v>54</v>
      </c>
      <c r="O75" s="1">
        <f>SUM(O76:O82)</f>
        <v>1.2403080000000002E-2</v>
      </c>
      <c r="P75" s="42" t="s">
        <v>54</v>
      </c>
      <c r="AI75" s="12" t="s">
        <v>54</v>
      </c>
      <c r="AS75" s="1">
        <f>SUM(AJ76:AJ82)</f>
        <v>0</v>
      </c>
      <c r="AT75" s="1">
        <f>SUM(AK76:AK82)</f>
        <v>0</v>
      </c>
      <c r="AU75" s="1">
        <f>SUM(AL76:AL82)</f>
        <v>0</v>
      </c>
    </row>
    <row r="76" spans="1:76">
      <c r="A76" s="86">
        <f>A74+1</f>
        <v>25</v>
      </c>
      <c r="B76" s="3" t="s">
        <v>54</v>
      </c>
      <c r="C76" s="3" t="s">
        <v>163</v>
      </c>
      <c r="D76" s="199" t="s">
        <v>164</v>
      </c>
      <c r="E76" s="200"/>
      <c r="F76" s="3" t="s">
        <v>79</v>
      </c>
      <c r="G76" s="31">
        <v>36.436</v>
      </c>
      <c r="H76" s="31">
        <v>0</v>
      </c>
      <c r="I76" s="32">
        <v>21</v>
      </c>
      <c r="J76" s="31">
        <f>ROUND(G76*AO76,2)</f>
        <v>0</v>
      </c>
      <c r="K76" s="31">
        <f>ROUND(G76*AP76,2)</f>
        <v>0</v>
      </c>
      <c r="L76" s="31">
        <f>ROUND(G76*H76,2)</f>
        <v>0</v>
      </c>
      <c r="M76" s="31">
        <f>L76*(1+BW76/100)</f>
        <v>0</v>
      </c>
      <c r="N76" s="31">
        <v>3.2000000000000003E-4</v>
      </c>
      <c r="O76" s="31">
        <f>G76*N76</f>
        <v>1.1659520000000001E-2</v>
      </c>
      <c r="P76" s="33" t="s">
        <v>61</v>
      </c>
      <c r="Z76" s="31">
        <f>ROUND(IF(AQ76="5",BJ76,0),2)</f>
        <v>0</v>
      </c>
      <c r="AB76" s="31">
        <f>ROUND(IF(AQ76="1",BH76,0),2)</f>
        <v>0</v>
      </c>
      <c r="AC76" s="31">
        <f>ROUND(IF(AQ76="1",BI76,0),2)</f>
        <v>0</v>
      </c>
      <c r="AD76" s="31">
        <f>ROUND(IF(AQ76="7",BH76,0),2)</f>
        <v>0</v>
      </c>
      <c r="AE76" s="31">
        <f>ROUND(IF(AQ76="7",BI76,0),2)</f>
        <v>0</v>
      </c>
      <c r="AF76" s="31">
        <f>ROUND(IF(AQ76="2",BH76,0),2)</f>
        <v>0</v>
      </c>
      <c r="AG76" s="31">
        <f>ROUND(IF(AQ76="2",BI76,0),2)</f>
        <v>0</v>
      </c>
      <c r="AH76" s="31">
        <f>ROUND(IF(AQ76="0",BJ76,0),2)</f>
        <v>0</v>
      </c>
      <c r="AI76" s="12" t="s">
        <v>54</v>
      </c>
      <c r="AJ76" s="31">
        <f>IF(AN76=0,L76,0)</f>
        <v>0</v>
      </c>
      <c r="AK76" s="31">
        <f>IF(AN76=12,L76,0)</f>
        <v>0</v>
      </c>
      <c r="AL76" s="31">
        <f>IF(AN76=21,L76,0)</f>
        <v>0</v>
      </c>
      <c r="AN76" s="31">
        <v>21</v>
      </c>
      <c r="AO76" s="31">
        <f>H76*0.412923186</f>
        <v>0</v>
      </c>
      <c r="AP76" s="31">
        <f>H76*(1-0.412923186)</f>
        <v>0</v>
      </c>
      <c r="AQ76" s="34" t="s">
        <v>80</v>
      </c>
      <c r="AV76" s="31">
        <f>ROUND(AW76+AX76,2)</f>
        <v>0</v>
      </c>
      <c r="AW76" s="31">
        <f>ROUND(G76*AO76,2)</f>
        <v>0</v>
      </c>
      <c r="AX76" s="31">
        <f>ROUND(G76*AP76,2)</f>
        <v>0</v>
      </c>
      <c r="AY76" s="34" t="s">
        <v>165</v>
      </c>
      <c r="AZ76" s="34" t="s">
        <v>166</v>
      </c>
      <c r="BA76" s="12" t="s">
        <v>64</v>
      </c>
      <c r="BC76" s="31">
        <f>AW76+AX76</f>
        <v>0</v>
      </c>
      <c r="BD76" s="31">
        <f>H76/(100-BE76)*100</f>
        <v>0</v>
      </c>
      <c r="BE76" s="31">
        <v>0</v>
      </c>
      <c r="BF76" s="31">
        <f>O76</f>
        <v>1.1659520000000001E-2</v>
      </c>
      <c r="BH76" s="31">
        <f>G76*AO76</f>
        <v>0</v>
      </c>
      <c r="BI76" s="31">
        <f>G76*AP76</f>
        <v>0</v>
      </c>
      <c r="BJ76" s="31">
        <f>G76*H76</f>
        <v>0</v>
      </c>
      <c r="BK76" s="34" t="s">
        <v>65</v>
      </c>
      <c r="BL76" s="31">
        <v>783</v>
      </c>
      <c r="BW76" s="31">
        <f>I76</f>
        <v>21</v>
      </c>
      <c r="BX76" s="4" t="s">
        <v>164</v>
      </c>
    </row>
    <row r="77" spans="1:76">
      <c r="A77" s="35"/>
      <c r="D77" s="36" t="s">
        <v>167</v>
      </c>
      <c r="E77" s="36" t="s">
        <v>54</v>
      </c>
      <c r="G77" s="37">
        <v>34.613999999999997</v>
      </c>
      <c r="P77" s="38"/>
    </row>
    <row r="78" spans="1:76">
      <c r="A78" s="35"/>
      <c r="D78" s="36" t="s">
        <v>168</v>
      </c>
      <c r="E78" s="36" t="s">
        <v>54</v>
      </c>
      <c r="F78" s="150"/>
      <c r="G78" s="37">
        <v>1.8220000000000001</v>
      </c>
      <c r="H78" s="150"/>
      <c r="P78" s="38"/>
    </row>
    <row r="79" spans="1:76">
      <c r="A79" s="35"/>
      <c r="D79" s="128" t="s">
        <v>445</v>
      </c>
      <c r="E79" s="36" t="s">
        <v>54</v>
      </c>
      <c r="F79" s="150"/>
      <c r="G79" s="37">
        <v>1.4786599999999999</v>
      </c>
      <c r="H79" s="150"/>
      <c r="P79" s="38"/>
    </row>
    <row r="80" spans="1:76">
      <c r="A80" s="2">
        <f>A76+1</f>
        <v>26</v>
      </c>
      <c r="B80" s="3" t="s">
        <v>54</v>
      </c>
      <c r="C80" s="3" t="s">
        <v>169</v>
      </c>
      <c r="D80" s="199" t="s">
        <v>170</v>
      </c>
      <c r="E80" s="200"/>
      <c r="F80" s="87" t="s">
        <v>79</v>
      </c>
      <c r="G80" s="31">
        <v>37.177999999999997</v>
      </c>
      <c r="H80" s="31">
        <v>0</v>
      </c>
      <c r="I80" s="32">
        <v>21</v>
      </c>
      <c r="J80" s="31">
        <f>ROUND(G80*AO80,2)</f>
        <v>0</v>
      </c>
      <c r="K80" s="31">
        <f>ROUND(G80*AP80,2)</f>
        <v>0</v>
      </c>
      <c r="L80" s="31">
        <f>ROUND(G80*H80,2)</f>
        <v>0</v>
      </c>
      <c r="M80" s="31">
        <f>L80*(1+BW80/100)</f>
        <v>0</v>
      </c>
      <c r="N80" s="31">
        <v>1.0000000000000001E-5</v>
      </c>
      <c r="O80" s="31">
        <f>G80*N80</f>
        <v>3.7177999999999999E-4</v>
      </c>
      <c r="P80" s="33" t="s">
        <v>61</v>
      </c>
      <c r="Z80" s="31">
        <f>ROUND(IF(AQ80="5",BJ80,0),2)</f>
        <v>0</v>
      </c>
      <c r="AB80" s="31">
        <f>ROUND(IF(AQ80="1",BH80,0),2)</f>
        <v>0</v>
      </c>
      <c r="AC80" s="31">
        <f>ROUND(IF(AQ80="1",BI80,0),2)</f>
        <v>0</v>
      </c>
      <c r="AD80" s="31">
        <f>ROUND(IF(AQ80="7",BH80,0),2)</f>
        <v>0</v>
      </c>
      <c r="AE80" s="31">
        <f>ROUND(IF(AQ80="7",BI80,0),2)</f>
        <v>0</v>
      </c>
      <c r="AF80" s="31">
        <f>ROUND(IF(AQ80="2",BH80,0),2)</f>
        <v>0</v>
      </c>
      <c r="AG80" s="31">
        <f>ROUND(IF(AQ80="2",BI80,0),2)</f>
        <v>0</v>
      </c>
      <c r="AH80" s="31">
        <f>ROUND(IF(AQ80="0",BJ80,0),2)</f>
        <v>0</v>
      </c>
      <c r="AI80" s="12" t="s">
        <v>54</v>
      </c>
      <c r="AJ80" s="31">
        <f>IF(AN80=0,L80,0)</f>
        <v>0</v>
      </c>
      <c r="AK80" s="31">
        <f>IF(AN80=12,L80,0)</f>
        <v>0</v>
      </c>
      <c r="AL80" s="31">
        <f>IF(AN80=21,L80,0)</f>
        <v>0</v>
      </c>
      <c r="AN80" s="31">
        <v>21</v>
      </c>
      <c r="AO80" s="31">
        <f>H80*0.061278351</f>
        <v>0</v>
      </c>
      <c r="AP80" s="31">
        <f>H80*(1-0.061278351)</f>
        <v>0</v>
      </c>
      <c r="AQ80" s="34" t="s">
        <v>80</v>
      </c>
      <c r="AV80" s="31">
        <f>ROUND(AW80+AX80,2)</f>
        <v>0</v>
      </c>
      <c r="AW80" s="31">
        <f>ROUND(G80*AO80,2)</f>
        <v>0</v>
      </c>
      <c r="AX80" s="31">
        <f>ROUND(G80*AP80,2)</f>
        <v>0</v>
      </c>
      <c r="AY80" s="34" t="s">
        <v>165</v>
      </c>
      <c r="AZ80" s="34" t="s">
        <v>166</v>
      </c>
      <c r="BA80" s="12" t="s">
        <v>64</v>
      </c>
      <c r="BC80" s="31">
        <f>AW80+AX80</f>
        <v>0</v>
      </c>
      <c r="BD80" s="31">
        <f>H80/(100-BE80)*100</f>
        <v>0</v>
      </c>
      <c r="BE80" s="31">
        <v>0</v>
      </c>
      <c r="BF80" s="31">
        <f>O80</f>
        <v>3.7177999999999999E-4</v>
      </c>
      <c r="BH80" s="31">
        <f>G80*AO80</f>
        <v>0</v>
      </c>
      <c r="BI80" s="31">
        <f>G80*AP80</f>
        <v>0</v>
      </c>
      <c r="BJ80" s="31">
        <f>G80*H80</f>
        <v>0</v>
      </c>
      <c r="BK80" s="34" t="s">
        <v>65</v>
      </c>
      <c r="BL80" s="31">
        <v>783</v>
      </c>
      <c r="BW80" s="31">
        <f>I80</f>
        <v>21</v>
      </c>
      <c r="BX80" s="4" t="s">
        <v>170</v>
      </c>
    </row>
    <row r="81" spans="1:76">
      <c r="A81" s="35"/>
      <c r="D81" s="36" t="s">
        <v>171</v>
      </c>
      <c r="E81" s="36" t="s">
        <v>54</v>
      </c>
      <c r="F81" s="150"/>
      <c r="G81" s="37">
        <v>37.177999999999997</v>
      </c>
      <c r="H81" s="150"/>
      <c r="P81" s="38"/>
    </row>
    <row r="82" spans="1:76">
      <c r="A82" s="86">
        <f>A80+1</f>
        <v>27</v>
      </c>
      <c r="B82" s="3" t="s">
        <v>54</v>
      </c>
      <c r="C82" s="3" t="s">
        <v>172</v>
      </c>
      <c r="D82" s="199" t="s">
        <v>173</v>
      </c>
      <c r="E82" s="200"/>
      <c r="F82" s="87" t="s">
        <v>79</v>
      </c>
      <c r="G82" s="31">
        <v>37.177999999999997</v>
      </c>
      <c r="H82" s="31">
        <v>0</v>
      </c>
      <c r="I82" s="32">
        <v>21</v>
      </c>
      <c r="J82" s="31">
        <f>ROUND(G82*AO82,2)</f>
        <v>0</v>
      </c>
      <c r="K82" s="31">
        <f>ROUND(G82*AP82,2)</f>
        <v>0</v>
      </c>
      <c r="L82" s="31">
        <f>ROUND(G82*H82,2)</f>
        <v>0</v>
      </c>
      <c r="M82" s="31">
        <f>L82*(1+BW82/100)</f>
        <v>0</v>
      </c>
      <c r="N82" s="31">
        <v>1.0000000000000001E-5</v>
      </c>
      <c r="O82" s="31">
        <f>G82*N82</f>
        <v>3.7177999999999999E-4</v>
      </c>
      <c r="P82" s="33" t="s">
        <v>61</v>
      </c>
      <c r="Z82" s="31">
        <f>ROUND(IF(AQ82="5",BJ82,0),2)</f>
        <v>0</v>
      </c>
      <c r="AB82" s="31">
        <f>ROUND(IF(AQ82="1",BH82,0),2)</f>
        <v>0</v>
      </c>
      <c r="AC82" s="31">
        <f>ROUND(IF(AQ82="1",BI82,0),2)</f>
        <v>0</v>
      </c>
      <c r="AD82" s="31">
        <f>ROUND(IF(AQ82="7",BH82,0),2)</f>
        <v>0</v>
      </c>
      <c r="AE82" s="31">
        <f>ROUND(IF(AQ82="7",BI82,0),2)</f>
        <v>0</v>
      </c>
      <c r="AF82" s="31">
        <f>ROUND(IF(AQ82="2",BH82,0),2)</f>
        <v>0</v>
      </c>
      <c r="AG82" s="31">
        <f>ROUND(IF(AQ82="2",BI82,0),2)</f>
        <v>0</v>
      </c>
      <c r="AH82" s="31">
        <f>ROUND(IF(AQ82="0",BJ82,0),2)</f>
        <v>0</v>
      </c>
      <c r="AI82" s="12" t="s">
        <v>54</v>
      </c>
      <c r="AJ82" s="31">
        <f>IF(AN82=0,L82,0)</f>
        <v>0</v>
      </c>
      <c r="AK82" s="31">
        <f>IF(AN82=12,L82,0)</f>
        <v>0</v>
      </c>
      <c r="AL82" s="31">
        <f>IF(AN82=21,L82,0)</f>
        <v>0</v>
      </c>
      <c r="AN82" s="31">
        <v>21</v>
      </c>
      <c r="AO82" s="31">
        <f>H82*0.049772596</f>
        <v>0</v>
      </c>
      <c r="AP82" s="31">
        <f>H82*(1-0.049772596)</f>
        <v>0</v>
      </c>
      <c r="AQ82" s="34" t="s">
        <v>80</v>
      </c>
      <c r="AV82" s="31">
        <f>ROUND(AW82+AX82,2)</f>
        <v>0</v>
      </c>
      <c r="AW82" s="31">
        <f>ROUND(G82*AO82,2)</f>
        <v>0</v>
      </c>
      <c r="AX82" s="31">
        <f>ROUND(G82*AP82,2)</f>
        <v>0</v>
      </c>
      <c r="AY82" s="34" t="s">
        <v>165</v>
      </c>
      <c r="AZ82" s="34" t="s">
        <v>166</v>
      </c>
      <c r="BA82" s="12" t="s">
        <v>64</v>
      </c>
      <c r="BC82" s="31">
        <f>AW82+AX82</f>
        <v>0</v>
      </c>
      <c r="BD82" s="31">
        <f>H82/(100-BE82)*100</f>
        <v>0</v>
      </c>
      <c r="BE82" s="31">
        <v>0</v>
      </c>
      <c r="BF82" s="31">
        <f>O82</f>
        <v>3.7177999999999999E-4</v>
      </c>
      <c r="BH82" s="31">
        <f>G82*AO82</f>
        <v>0</v>
      </c>
      <c r="BI82" s="31">
        <f>G82*AP82</f>
        <v>0</v>
      </c>
      <c r="BJ82" s="31">
        <f>G82*H82</f>
        <v>0</v>
      </c>
      <c r="BK82" s="34" t="s">
        <v>65</v>
      </c>
      <c r="BL82" s="31">
        <v>783</v>
      </c>
      <c r="BW82" s="31">
        <f>I82</f>
        <v>21</v>
      </c>
      <c r="BX82" s="4" t="s">
        <v>173</v>
      </c>
    </row>
    <row r="83" spans="1:76">
      <c r="A83" s="35"/>
      <c r="D83" s="36" t="s">
        <v>171</v>
      </c>
      <c r="E83" s="36" t="s">
        <v>54</v>
      </c>
      <c r="F83" s="150"/>
      <c r="G83" s="37">
        <v>37.177999999999997</v>
      </c>
      <c r="H83" s="150"/>
      <c r="P83" s="38"/>
    </row>
    <row r="84" spans="1:76">
      <c r="A84" s="39" t="s">
        <v>54</v>
      </c>
      <c r="B84" s="40" t="s">
        <v>54</v>
      </c>
      <c r="C84" s="40" t="s">
        <v>174</v>
      </c>
      <c r="D84" s="246" t="s">
        <v>175</v>
      </c>
      <c r="E84" s="247"/>
      <c r="F84" s="41" t="s">
        <v>4</v>
      </c>
      <c r="G84" s="41" t="s">
        <v>4</v>
      </c>
      <c r="H84" s="41" t="s">
        <v>4</v>
      </c>
      <c r="I84" s="41" t="s">
        <v>4</v>
      </c>
      <c r="J84" s="1">
        <f>SUM(J85:J88)</f>
        <v>0</v>
      </c>
      <c r="K84" s="1">
        <f>SUM(K85:K88)</f>
        <v>0</v>
      </c>
      <c r="L84" s="1">
        <f>SUM(L85:L88)</f>
        <v>0</v>
      </c>
      <c r="M84" s="1">
        <f>SUM(M85:M87)</f>
        <v>0</v>
      </c>
      <c r="N84" s="12" t="s">
        <v>54</v>
      </c>
      <c r="O84" s="1">
        <f>SUM(O85:O87)</f>
        <v>0</v>
      </c>
      <c r="P84" s="42" t="s">
        <v>54</v>
      </c>
      <c r="AI84" s="12" t="s">
        <v>54</v>
      </c>
      <c r="AS84" s="1">
        <f>SUM(AJ85:AJ87)</f>
        <v>0</v>
      </c>
      <c r="AT84" s="1">
        <f>SUM(AK85:AK87)</f>
        <v>0</v>
      </c>
      <c r="AU84" s="1">
        <f>SUM(AL85:AL87)</f>
        <v>0</v>
      </c>
    </row>
    <row r="85" spans="1:76">
      <c r="A85" s="2">
        <f>A82+1</f>
        <v>28</v>
      </c>
      <c r="B85" s="3" t="s">
        <v>54</v>
      </c>
      <c r="C85" s="3" t="s">
        <v>176</v>
      </c>
      <c r="D85" s="199" t="s">
        <v>177</v>
      </c>
      <c r="E85" s="200"/>
      <c r="F85" s="3" t="s">
        <v>178</v>
      </c>
      <c r="G85" s="31">
        <v>72</v>
      </c>
      <c r="H85" s="31">
        <v>0</v>
      </c>
      <c r="I85" s="32">
        <v>21</v>
      </c>
      <c r="J85" s="31">
        <f>ROUND(G85*AO85,2)</f>
        <v>0</v>
      </c>
      <c r="K85" s="31">
        <f>ROUND(G85*AP85,2)</f>
        <v>0</v>
      </c>
      <c r="L85" s="31">
        <f>ROUND(G85*H85,2)</f>
        <v>0</v>
      </c>
      <c r="M85" s="31">
        <f>L85*(1+BW85/100)</f>
        <v>0</v>
      </c>
      <c r="N85" s="31">
        <v>0</v>
      </c>
      <c r="O85" s="31">
        <f>G85*N85</f>
        <v>0</v>
      </c>
      <c r="P85" s="33" t="s">
        <v>61</v>
      </c>
      <c r="Z85" s="31">
        <f>ROUND(IF(AQ85="5",BJ85,0),2)</f>
        <v>0</v>
      </c>
      <c r="AB85" s="31">
        <f>ROUND(IF(AQ85="1",BH85,0),2)</f>
        <v>0</v>
      </c>
      <c r="AC85" s="31">
        <f>ROUND(IF(AQ85="1",BI85,0),2)</f>
        <v>0</v>
      </c>
      <c r="AD85" s="31">
        <f>ROUND(IF(AQ85="7",BH85,0),2)</f>
        <v>0</v>
      </c>
      <c r="AE85" s="31">
        <f>ROUND(IF(AQ85="7",BI85,0),2)</f>
        <v>0</v>
      </c>
      <c r="AF85" s="31">
        <f>ROUND(IF(AQ85="2",BH85,0),2)</f>
        <v>0</v>
      </c>
      <c r="AG85" s="31">
        <f>ROUND(IF(AQ85="2",BI85,0),2)</f>
        <v>0</v>
      </c>
      <c r="AH85" s="31">
        <f>ROUND(IF(AQ85="0",BJ85,0),2)</f>
        <v>0</v>
      </c>
      <c r="AI85" s="12" t="s">
        <v>54</v>
      </c>
      <c r="AJ85" s="31">
        <f>IF(AN85=0,L85,0)</f>
        <v>0</v>
      </c>
      <c r="AK85" s="31">
        <f>IF(AN85=12,L85,0)</f>
        <v>0</v>
      </c>
      <c r="AL85" s="31">
        <f>IF(AN85=21,L85,0)</f>
        <v>0</v>
      </c>
      <c r="AN85" s="31">
        <v>21</v>
      </c>
      <c r="AO85" s="31">
        <f>H85*0</f>
        <v>0</v>
      </c>
      <c r="AP85" s="31">
        <f>H85*(1-0)</f>
        <v>0</v>
      </c>
      <c r="AQ85" s="34" t="s">
        <v>57</v>
      </c>
      <c r="AV85" s="31">
        <f>ROUND(AW85+AX85,2)</f>
        <v>0</v>
      </c>
      <c r="AW85" s="31">
        <f>ROUND(G85*AO85,2)</f>
        <v>0</v>
      </c>
      <c r="AX85" s="31">
        <f>ROUND(G85*AP85,2)</f>
        <v>0</v>
      </c>
      <c r="AY85" s="34" t="s">
        <v>179</v>
      </c>
      <c r="AZ85" s="34" t="s">
        <v>180</v>
      </c>
      <c r="BA85" s="12" t="s">
        <v>64</v>
      </c>
      <c r="BC85" s="31">
        <f>AW85+AX85</f>
        <v>0</v>
      </c>
      <c r="BD85" s="31">
        <f>H85/(100-BE85)*100</f>
        <v>0</v>
      </c>
      <c r="BE85" s="31">
        <v>0</v>
      </c>
      <c r="BF85" s="31">
        <f>O85</f>
        <v>0</v>
      </c>
      <c r="BH85" s="31">
        <f>G85*AO85</f>
        <v>0</v>
      </c>
      <c r="BI85" s="31">
        <f>G85*AP85</f>
        <v>0</v>
      </c>
      <c r="BJ85" s="31">
        <f>G85*H85</f>
        <v>0</v>
      </c>
      <c r="BK85" s="34" t="s">
        <v>65</v>
      </c>
      <c r="BL85" s="31">
        <v>90</v>
      </c>
      <c r="BW85" s="31">
        <f>I85</f>
        <v>21</v>
      </c>
      <c r="BX85" s="4" t="s">
        <v>177</v>
      </c>
    </row>
    <row r="86" spans="1:76">
      <c r="A86" s="86">
        <f>A85+1</f>
        <v>29</v>
      </c>
      <c r="B86" s="3" t="s">
        <v>54</v>
      </c>
      <c r="C86" s="3" t="s">
        <v>181</v>
      </c>
      <c r="D86" s="199" t="s">
        <v>182</v>
      </c>
      <c r="E86" s="200"/>
      <c r="F86" s="3" t="s">
        <v>178</v>
      </c>
      <c r="G86" s="31">
        <v>4</v>
      </c>
      <c r="H86" s="31">
        <v>0</v>
      </c>
      <c r="I86" s="32">
        <v>21</v>
      </c>
      <c r="J86" s="31">
        <f>ROUND(G86*AO86,2)</f>
        <v>0</v>
      </c>
      <c r="K86" s="31">
        <f>ROUND(G86*AP86,2)</f>
        <v>0</v>
      </c>
      <c r="L86" s="31">
        <f>ROUND(G86*H86,2)</f>
        <v>0</v>
      </c>
      <c r="M86" s="31">
        <f>L86*(1+BW86/100)</f>
        <v>0</v>
      </c>
      <c r="N86" s="31">
        <v>0</v>
      </c>
      <c r="O86" s="31">
        <f>G86*N86</f>
        <v>0</v>
      </c>
      <c r="P86" s="33" t="s">
        <v>61</v>
      </c>
      <c r="Z86" s="31">
        <f>ROUND(IF(AQ86="5",BJ86,0),2)</f>
        <v>0</v>
      </c>
      <c r="AB86" s="31">
        <f>ROUND(IF(AQ86="1",BH86,0),2)</f>
        <v>0</v>
      </c>
      <c r="AC86" s="31">
        <f>ROUND(IF(AQ86="1",BI86,0),2)</f>
        <v>0</v>
      </c>
      <c r="AD86" s="31">
        <f>ROUND(IF(AQ86="7",BH86,0),2)</f>
        <v>0</v>
      </c>
      <c r="AE86" s="31">
        <f>ROUND(IF(AQ86="7",BI86,0),2)</f>
        <v>0</v>
      </c>
      <c r="AF86" s="31">
        <f>ROUND(IF(AQ86="2",BH86,0),2)</f>
        <v>0</v>
      </c>
      <c r="AG86" s="31">
        <f>ROUND(IF(AQ86="2",BI86,0),2)</f>
        <v>0</v>
      </c>
      <c r="AH86" s="31">
        <f>ROUND(IF(AQ86="0",BJ86,0),2)</f>
        <v>0</v>
      </c>
      <c r="AI86" s="12" t="s">
        <v>54</v>
      </c>
      <c r="AJ86" s="31">
        <f>IF(AN86=0,L86,0)</f>
        <v>0</v>
      </c>
      <c r="AK86" s="31">
        <f>IF(AN86=12,L86,0)</f>
        <v>0</v>
      </c>
      <c r="AL86" s="31">
        <f>IF(AN86=21,L86,0)</f>
        <v>0</v>
      </c>
      <c r="AN86" s="31">
        <v>21</v>
      </c>
      <c r="AO86" s="31">
        <f>H86*0</f>
        <v>0</v>
      </c>
      <c r="AP86" s="31">
        <f>H86*(1-0)</f>
        <v>0</v>
      </c>
      <c r="AQ86" s="34" t="s">
        <v>57</v>
      </c>
      <c r="AV86" s="31">
        <f>ROUND(AW86+AX86,2)</f>
        <v>0</v>
      </c>
      <c r="AW86" s="31">
        <f>ROUND(G86*AO86,2)</f>
        <v>0</v>
      </c>
      <c r="AX86" s="31">
        <f>ROUND(G86*AP86,2)</f>
        <v>0</v>
      </c>
      <c r="AY86" s="34" t="s">
        <v>179</v>
      </c>
      <c r="AZ86" s="34" t="s">
        <v>180</v>
      </c>
      <c r="BA86" s="12" t="s">
        <v>64</v>
      </c>
      <c r="BC86" s="31">
        <f>AW86+AX86</f>
        <v>0</v>
      </c>
      <c r="BD86" s="31">
        <f>H86/(100-BE86)*100</f>
        <v>0</v>
      </c>
      <c r="BE86" s="31">
        <v>0</v>
      </c>
      <c r="BF86" s="31">
        <f>O86</f>
        <v>0</v>
      </c>
      <c r="BH86" s="31">
        <f>G86*AO86</f>
        <v>0</v>
      </c>
      <c r="BI86" s="31">
        <f>G86*AP86</f>
        <v>0</v>
      </c>
      <c r="BJ86" s="31">
        <f>G86*H86</f>
        <v>0</v>
      </c>
      <c r="BK86" s="34" t="s">
        <v>65</v>
      </c>
      <c r="BL86" s="31">
        <v>90</v>
      </c>
      <c r="BW86" s="31">
        <f>I86</f>
        <v>21</v>
      </c>
      <c r="BX86" s="4" t="s">
        <v>182</v>
      </c>
    </row>
    <row r="87" spans="1:76" ht="30" customHeight="1">
      <c r="A87" s="86">
        <f>A86+1</f>
        <v>30</v>
      </c>
      <c r="B87" s="3" t="s">
        <v>54</v>
      </c>
      <c r="C87" s="3" t="s">
        <v>183</v>
      </c>
      <c r="D87" s="199" t="s">
        <v>184</v>
      </c>
      <c r="E87" s="200"/>
      <c r="F87" s="3" t="s">
        <v>178</v>
      </c>
      <c r="G87" s="31">
        <v>16</v>
      </c>
      <c r="H87" s="31">
        <v>0</v>
      </c>
      <c r="I87" s="32">
        <v>21</v>
      </c>
      <c r="J87" s="31">
        <f>ROUND(G87*AO87,2)</f>
        <v>0</v>
      </c>
      <c r="K87" s="31">
        <f>ROUND(G87*AP87,2)</f>
        <v>0</v>
      </c>
      <c r="L87" s="31">
        <f>ROUND(G87*H87,2)</f>
        <v>0</v>
      </c>
      <c r="M87" s="31">
        <f>L87*(1+BW87/100)</f>
        <v>0</v>
      </c>
      <c r="N87" s="31">
        <v>0</v>
      </c>
      <c r="O87" s="31">
        <f>G87*N87</f>
        <v>0</v>
      </c>
      <c r="P87" s="33" t="s">
        <v>61</v>
      </c>
      <c r="Z87" s="31">
        <f>ROUND(IF(AQ87="5",BJ87,0),2)</f>
        <v>0</v>
      </c>
      <c r="AB87" s="31">
        <f>ROUND(IF(AQ87="1",BH87,0),2)</f>
        <v>0</v>
      </c>
      <c r="AC87" s="31">
        <f>ROUND(IF(AQ87="1",BI87,0),2)</f>
        <v>0</v>
      </c>
      <c r="AD87" s="31">
        <f>ROUND(IF(AQ87="7",BH87,0),2)</f>
        <v>0</v>
      </c>
      <c r="AE87" s="31">
        <f>ROUND(IF(AQ87="7",BI87,0),2)</f>
        <v>0</v>
      </c>
      <c r="AF87" s="31">
        <f>ROUND(IF(AQ87="2",BH87,0),2)</f>
        <v>0</v>
      </c>
      <c r="AG87" s="31">
        <f>ROUND(IF(AQ87="2",BI87,0),2)</f>
        <v>0</v>
      </c>
      <c r="AH87" s="31">
        <f>ROUND(IF(AQ87="0",BJ87,0),2)</f>
        <v>0</v>
      </c>
      <c r="AI87" s="12" t="s">
        <v>54</v>
      </c>
      <c r="AJ87" s="31">
        <f>IF(AN87=0,L87,0)</f>
        <v>0</v>
      </c>
      <c r="AK87" s="31">
        <f>IF(AN87=12,L87,0)</f>
        <v>0</v>
      </c>
      <c r="AL87" s="31">
        <f>IF(AN87=21,L87,0)</f>
        <v>0</v>
      </c>
      <c r="AN87" s="31">
        <v>21</v>
      </c>
      <c r="AO87" s="31">
        <f>H87*0</f>
        <v>0</v>
      </c>
      <c r="AP87" s="31">
        <f>H87*(1-0)</f>
        <v>0</v>
      </c>
      <c r="AQ87" s="34" t="s">
        <v>57</v>
      </c>
      <c r="AV87" s="31">
        <f>ROUND(AW87+AX87,2)</f>
        <v>0</v>
      </c>
      <c r="AW87" s="31">
        <f>ROUND(G87*AO87,2)</f>
        <v>0</v>
      </c>
      <c r="AX87" s="31">
        <f>ROUND(G87*AP87,2)</f>
        <v>0</v>
      </c>
      <c r="AY87" s="34" t="s">
        <v>179</v>
      </c>
      <c r="AZ87" s="34" t="s">
        <v>180</v>
      </c>
      <c r="BA87" s="12" t="s">
        <v>64</v>
      </c>
      <c r="BC87" s="31">
        <f>AW87+AX87</f>
        <v>0</v>
      </c>
      <c r="BD87" s="31">
        <f>H87/(100-BE87)*100</f>
        <v>0</v>
      </c>
      <c r="BE87" s="31">
        <v>0</v>
      </c>
      <c r="BF87" s="31">
        <f>O87</f>
        <v>0</v>
      </c>
      <c r="BH87" s="31">
        <f>G87*AO87</f>
        <v>0</v>
      </c>
      <c r="BI87" s="31">
        <f>G87*AP87</f>
        <v>0</v>
      </c>
      <c r="BJ87" s="31">
        <f>G87*H87</f>
        <v>0</v>
      </c>
      <c r="BK87" s="34" t="s">
        <v>65</v>
      </c>
      <c r="BL87" s="31">
        <v>90</v>
      </c>
      <c r="BW87" s="31">
        <f>I87</f>
        <v>21</v>
      </c>
      <c r="BX87" s="4" t="s">
        <v>184</v>
      </c>
    </row>
    <row r="88" spans="1:76">
      <c r="A88" s="86">
        <f>A87+1</f>
        <v>31</v>
      </c>
      <c r="B88" s="87" t="s">
        <v>54</v>
      </c>
      <c r="C88" s="135" t="s">
        <v>441</v>
      </c>
      <c r="D88" s="238" t="s">
        <v>453</v>
      </c>
      <c r="E88" s="200"/>
      <c r="F88" s="87" t="s">
        <v>112</v>
      </c>
      <c r="G88" s="31">
        <v>10</v>
      </c>
      <c r="H88" s="31">
        <v>0</v>
      </c>
      <c r="I88" s="32">
        <v>21</v>
      </c>
      <c r="J88" s="31">
        <f>ROUND(G88*AO88,2)</f>
        <v>0</v>
      </c>
      <c r="K88" s="31">
        <f>ROUND(G88*AP88,2)</f>
        <v>0</v>
      </c>
      <c r="L88" s="31">
        <f>ROUND(G88*H88,2)</f>
        <v>0</v>
      </c>
      <c r="M88" s="31">
        <f>L88*(1+BW88/100)</f>
        <v>0</v>
      </c>
      <c r="N88" s="31">
        <v>0</v>
      </c>
      <c r="O88" s="31">
        <f>G88*N88</f>
        <v>0</v>
      </c>
      <c r="P88" s="33" t="s">
        <v>54</v>
      </c>
      <c r="Z88" s="31">
        <f>ROUND(IF(AQ88="5",BJ88,0),2)</f>
        <v>0</v>
      </c>
      <c r="AB88" s="31">
        <f>ROUND(IF(AQ88="1",BH88,0),2)</f>
        <v>0</v>
      </c>
      <c r="AC88" s="31">
        <f>ROUND(IF(AQ88="1",BI88,0),2)</f>
        <v>0</v>
      </c>
      <c r="AD88" s="31">
        <f>ROUND(IF(AQ88="7",BH88,0),2)</f>
        <v>0</v>
      </c>
      <c r="AE88" s="31">
        <f>ROUND(IF(AQ88="7",BI88,0),2)</f>
        <v>0</v>
      </c>
      <c r="AF88" s="31">
        <f>ROUND(IF(AQ88="2",BH88,0),2)</f>
        <v>0</v>
      </c>
      <c r="AG88" s="31">
        <f>ROUND(IF(AQ88="2",BI88,0),2)</f>
        <v>0</v>
      </c>
      <c r="AH88" s="31">
        <f>ROUND(IF(AQ88="0",BJ88,0),2)</f>
        <v>0</v>
      </c>
      <c r="AI88" s="12" t="s">
        <v>54</v>
      </c>
      <c r="AJ88" s="31">
        <f>IF(AN88=0,L88,0)</f>
        <v>0</v>
      </c>
      <c r="AK88" s="31">
        <f>IF(AN88=12,L88,0)</f>
        <v>0</v>
      </c>
      <c r="AL88" s="31">
        <f>IF(AN88=21,L88,0)</f>
        <v>0</v>
      </c>
      <c r="AN88" s="31">
        <v>21</v>
      </c>
      <c r="AO88" s="31">
        <f>H88*1</f>
        <v>0</v>
      </c>
      <c r="AP88" s="31">
        <f>H88*(1-1)</f>
        <v>0</v>
      </c>
      <c r="AQ88" s="34" t="s">
        <v>57</v>
      </c>
      <c r="AV88" s="31">
        <f>ROUND(AW88+AX88,2)</f>
        <v>0</v>
      </c>
      <c r="AW88" s="31">
        <f>ROUND(G88*AO88,2)</f>
        <v>0</v>
      </c>
      <c r="AX88" s="31">
        <f>ROUND(G88*AP88,2)</f>
        <v>0</v>
      </c>
      <c r="AY88" s="34" t="s">
        <v>214</v>
      </c>
      <c r="AZ88" s="34" t="s">
        <v>180</v>
      </c>
      <c r="BA88" s="12" t="s">
        <v>64</v>
      </c>
      <c r="BC88" s="31">
        <f>AW88+AX88</f>
        <v>0</v>
      </c>
      <c r="BD88" s="31">
        <f>H88/(100-BE88)*100</f>
        <v>0</v>
      </c>
      <c r="BE88" s="31">
        <v>0</v>
      </c>
      <c r="BF88" s="31">
        <f>O88</f>
        <v>0</v>
      </c>
      <c r="BH88" s="31">
        <f>G88*AO88</f>
        <v>0</v>
      </c>
      <c r="BI88" s="31">
        <f>G88*AP88</f>
        <v>0</v>
      </c>
      <c r="BJ88" s="31">
        <f>G88*H88</f>
        <v>0</v>
      </c>
      <c r="BK88" s="34" t="s">
        <v>98</v>
      </c>
      <c r="BL88" s="31"/>
      <c r="BW88" s="31">
        <f>I88</f>
        <v>21</v>
      </c>
      <c r="BX88" s="88" t="s">
        <v>279</v>
      </c>
    </row>
    <row r="89" spans="1:76">
      <c r="A89" s="39" t="s">
        <v>54</v>
      </c>
      <c r="B89" s="40" t="s">
        <v>54</v>
      </c>
      <c r="C89" s="40" t="s">
        <v>185</v>
      </c>
      <c r="D89" s="246" t="s">
        <v>186</v>
      </c>
      <c r="E89" s="247"/>
      <c r="F89" s="41" t="s">
        <v>4</v>
      </c>
      <c r="G89" s="41" t="s">
        <v>4</v>
      </c>
      <c r="H89" s="41" t="s">
        <v>4</v>
      </c>
      <c r="I89" s="41" t="s">
        <v>4</v>
      </c>
      <c r="J89" s="1">
        <f>SUM(J90:J90)</f>
        <v>0</v>
      </c>
      <c r="K89" s="1">
        <f>SUM(K90:K90)</f>
        <v>0</v>
      </c>
      <c r="L89" s="1">
        <f>SUM(L90:L90)</f>
        <v>0</v>
      </c>
      <c r="M89" s="1">
        <f>SUM(M90:M90)</f>
        <v>0</v>
      </c>
      <c r="N89" s="12" t="s">
        <v>54</v>
      </c>
      <c r="O89" s="1">
        <f>SUM(O90:O90)</f>
        <v>0.47400000000000003</v>
      </c>
      <c r="P89" s="42" t="s">
        <v>54</v>
      </c>
      <c r="AI89" s="12" t="s">
        <v>54</v>
      </c>
      <c r="AS89" s="1">
        <f>SUM(AJ90:AJ90)</f>
        <v>0</v>
      </c>
      <c r="AT89" s="1">
        <f>SUM(AK90:AK90)</f>
        <v>0</v>
      </c>
      <c r="AU89" s="1">
        <f>SUM(AL90:AL90)</f>
        <v>0</v>
      </c>
    </row>
    <row r="90" spans="1:76">
      <c r="A90" s="86">
        <f>A88+1</f>
        <v>32</v>
      </c>
      <c r="B90" s="3" t="s">
        <v>54</v>
      </c>
      <c r="C90" s="3" t="s">
        <v>187</v>
      </c>
      <c r="D90" s="199" t="s">
        <v>188</v>
      </c>
      <c r="E90" s="200"/>
      <c r="F90" s="3" t="s">
        <v>79</v>
      </c>
      <c r="G90" s="31">
        <v>300</v>
      </c>
      <c r="H90" s="31">
        <v>0</v>
      </c>
      <c r="I90" s="32">
        <v>21</v>
      </c>
      <c r="J90" s="31">
        <f>ROUND(G90*AO90,2)</f>
        <v>0</v>
      </c>
      <c r="K90" s="31">
        <f>ROUND(G90*AP90,2)</f>
        <v>0</v>
      </c>
      <c r="L90" s="31">
        <f>ROUND(G90*H90,2)</f>
        <v>0</v>
      </c>
      <c r="M90" s="31">
        <f>L90*(1+BW90/100)</f>
        <v>0</v>
      </c>
      <c r="N90" s="31">
        <v>1.58E-3</v>
      </c>
      <c r="O90" s="31">
        <f>G90*N90</f>
        <v>0.47400000000000003</v>
      </c>
      <c r="P90" s="33" t="s">
        <v>61</v>
      </c>
      <c r="Z90" s="31">
        <f>ROUND(IF(AQ90="5",BJ90,0),2)</f>
        <v>0</v>
      </c>
      <c r="AB90" s="31">
        <f>ROUND(IF(AQ90="1",BH90,0),2)</f>
        <v>0</v>
      </c>
      <c r="AC90" s="31">
        <f>ROUND(IF(AQ90="1",BI90,0),2)</f>
        <v>0</v>
      </c>
      <c r="AD90" s="31">
        <f>ROUND(IF(AQ90="7",BH90,0),2)</f>
        <v>0</v>
      </c>
      <c r="AE90" s="31">
        <f>ROUND(IF(AQ90="7",BI90,0),2)</f>
        <v>0</v>
      </c>
      <c r="AF90" s="31">
        <f>ROUND(IF(AQ90="2",BH90,0),2)</f>
        <v>0</v>
      </c>
      <c r="AG90" s="31">
        <f>ROUND(IF(AQ90="2",BI90,0),2)</f>
        <v>0</v>
      </c>
      <c r="AH90" s="31">
        <f>ROUND(IF(AQ90="0",BJ90,0),2)</f>
        <v>0</v>
      </c>
      <c r="AI90" s="12" t="s">
        <v>54</v>
      </c>
      <c r="AJ90" s="31">
        <f>IF(AN90=0,L90,0)</f>
        <v>0</v>
      </c>
      <c r="AK90" s="31">
        <f>IF(AN90=12,L90,0)</f>
        <v>0</v>
      </c>
      <c r="AL90" s="31">
        <f>IF(AN90=21,L90,0)</f>
        <v>0</v>
      </c>
      <c r="AN90" s="31">
        <v>21</v>
      </c>
      <c r="AO90" s="31">
        <f>H90*0.334582278</f>
        <v>0</v>
      </c>
      <c r="AP90" s="31">
        <f>H90*(1-0.334582278)</f>
        <v>0</v>
      </c>
      <c r="AQ90" s="34" t="s">
        <v>57</v>
      </c>
      <c r="AV90" s="31">
        <f>ROUND(AW90+AX90,2)</f>
        <v>0</v>
      </c>
      <c r="AW90" s="31">
        <f>ROUND(G90*AO90,2)</f>
        <v>0</v>
      </c>
      <c r="AX90" s="31">
        <f>ROUND(G90*AP90,2)</f>
        <v>0</v>
      </c>
      <c r="AY90" s="34" t="s">
        <v>189</v>
      </c>
      <c r="AZ90" s="34" t="s">
        <v>180</v>
      </c>
      <c r="BA90" s="12" t="s">
        <v>64</v>
      </c>
      <c r="BC90" s="31">
        <f>AW90+AX90</f>
        <v>0</v>
      </c>
      <c r="BD90" s="31">
        <f>H90/(100-BE90)*100</f>
        <v>0</v>
      </c>
      <c r="BE90" s="31">
        <v>0</v>
      </c>
      <c r="BF90" s="31">
        <f>O90</f>
        <v>0.47400000000000003</v>
      </c>
      <c r="BH90" s="31">
        <f>G90*AO90</f>
        <v>0</v>
      </c>
      <c r="BI90" s="31">
        <f>G90*AP90</f>
        <v>0</v>
      </c>
      <c r="BJ90" s="31">
        <f>G90*H90</f>
        <v>0</v>
      </c>
      <c r="BK90" s="34" t="s">
        <v>65</v>
      </c>
      <c r="BL90" s="31">
        <v>94</v>
      </c>
      <c r="BW90" s="31">
        <f>I90</f>
        <v>21</v>
      </c>
      <c r="BX90" s="4" t="s">
        <v>188</v>
      </c>
    </row>
    <row r="91" spans="1:76">
      <c r="A91" s="35"/>
      <c r="D91" s="36" t="s">
        <v>190</v>
      </c>
      <c r="E91" s="36" t="s">
        <v>54</v>
      </c>
      <c r="G91" s="37">
        <v>300</v>
      </c>
      <c r="P91" s="38"/>
    </row>
    <row r="92" spans="1:76">
      <c r="A92" s="39" t="s">
        <v>54</v>
      </c>
      <c r="B92" s="40" t="s">
        <v>54</v>
      </c>
      <c r="C92" s="40" t="s">
        <v>191</v>
      </c>
      <c r="D92" s="246" t="s">
        <v>192</v>
      </c>
      <c r="E92" s="247"/>
      <c r="F92" s="41" t="s">
        <v>4</v>
      </c>
      <c r="G92" s="41" t="s">
        <v>4</v>
      </c>
      <c r="H92" s="41" t="s">
        <v>4</v>
      </c>
      <c r="I92" s="41" t="s">
        <v>4</v>
      </c>
      <c r="J92" s="1">
        <f>SUM(J93:J101)</f>
        <v>0</v>
      </c>
      <c r="K92" s="1">
        <f>SUM(K93:K101)</f>
        <v>0</v>
      </c>
      <c r="L92" s="1">
        <f>SUM(L93:L101)</f>
        <v>0</v>
      </c>
      <c r="M92" s="1">
        <f>SUM(M93:M101)</f>
        <v>0</v>
      </c>
      <c r="N92" s="12" t="s">
        <v>54</v>
      </c>
      <c r="O92" s="1">
        <f>SUM(O99:O101)</f>
        <v>8.3759999999999998E-3</v>
      </c>
      <c r="P92" s="42" t="s">
        <v>54</v>
      </c>
      <c r="AI92" s="12" t="s">
        <v>54</v>
      </c>
      <c r="AS92" s="1">
        <f>SUM(AJ99:AJ101)</f>
        <v>0</v>
      </c>
      <c r="AT92" s="1">
        <f>SUM(AK99:AK101)</f>
        <v>0</v>
      </c>
      <c r="AU92" s="1">
        <f>SUM(AL99:AL101)</f>
        <v>0</v>
      </c>
    </row>
    <row r="93" spans="1:76" s="143" customFormat="1" ht="25.5">
      <c r="A93" s="138">
        <f>A90+1</f>
        <v>33</v>
      </c>
      <c r="B93" s="139" t="s">
        <v>54</v>
      </c>
      <c r="C93" s="139" t="s">
        <v>469</v>
      </c>
      <c r="D93" s="241" t="s">
        <v>470</v>
      </c>
      <c r="E93" s="242"/>
      <c r="F93" s="139" t="s">
        <v>471</v>
      </c>
      <c r="G93" s="140">
        <v>1890</v>
      </c>
      <c r="H93" s="140">
        <v>0</v>
      </c>
      <c r="I93" s="141" t="s">
        <v>152</v>
      </c>
      <c r="J93" s="140">
        <f>G93*AO93</f>
        <v>0</v>
      </c>
      <c r="K93" s="140">
        <f>G93*AP93</f>
        <v>0</v>
      </c>
      <c r="L93" s="140">
        <f>G93*H93</f>
        <v>0</v>
      </c>
      <c r="M93" s="140">
        <f>L93*(1+BW93/100)</f>
        <v>0</v>
      </c>
      <c r="N93" s="140">
        <v>0</v>
      </c>
      <c r="O93" s="140">
        <f>G93*N93</f>
        <v>0</v>
      </c>
      <c r="P93" s="142" t="s">
        <v>54</v>
      </c>
      <c r="Z93" s="140">
        <f>IF(AQ93="5",BJ93,0)</f>
        <v>0</v>
      </c>
      <c r="AB93" s="140">
        <f>IF(AQ93="1",BH93,0)</f>
        <v>0</v>
      </c>
      <c r="AC93" s="140">
        <f>IF(AQ93="1",BI93,0)</f>
        <v>0</v>
      </c>
      <c r="AD93" s="140">
        <f>IF(AQ93="7",BH93,0)</f>
        <v>0</v>
      </c>
      <c r="AE93" s="140">
        <f>IF(AQ93="7",BI93,0)</f>
        <v>0</v>
      </c>
      <c r="AF93" s="140">
        <f>IF(AQ93="2",BH93,0)</f>
        <v>0</v>
      </c>
      <c r="AG93" s="140">
        <f>IF(AQ93="2",BI93,0)</f>
        <v>0</v>
      </c>
      <c r="AH93" s="140">
        <f>IF(AQ93="0",BJ93,0)</f>
        <v>0</v>
      </c>
      <c r="AI93" s="144" t="s">
        <v>54</v>
      </c>
      <c r="AJ93" s="140">
        <f>IF(AN93=0,L93,0)</f>
        <v>0</v>
      </c>
      <c r="AK93" s="140">
        <f>IF(AN93=12,L93,0)</f>
        <v>0</v>
      </c>
      <c r="AL93" s="140">
        <f>IF(AN93=21,L93,0)</f>
        <v>0</v>
      </c>
      <c r="AN93" s="140">
        <v>21</v>
      </c>
      <c r="AO93" s="140">
        <f>H93*0</f>
        <v>0</v>
      </c>
      <c r="AP93" s="140">
        <f>H93*(1-0)</f>
        <v>0</v>
      </c>
      <c r="AQ93" s="141" t="s">
        <v>57</v>
      </c>
      <c r="AV93" s="140">
        <f>AW93+AX93</f>
        <v>0</v>
      </c>
      <c r="AW93" s="140">
        <f>G93*AO93</f>
        <v>0</v>
      </c>
      <c r="AX93" s="140">
        <f>G93*AP93</f>
        <v>0</v>
      </c>
      <c r="AY93" s="141" t="s">
        <v>195</v>
      </c>
      <c r="AZ93" s="141" t="s">
        <v>180</v>
      </c>
      <c r="BA93" s="144" t="s">
        <v>64</v>
      </c>
      <c r="BC93" s="140">
        <f>AW93+AX93</f>
        <v>0</v>
      </c>
      <c r="BD93" s="140">
        <f>H93/(100-BE93)*100</f>
        <v>0</v>
      </c>
      <c r="BE93" s="140">
        <v>0</v>
      </c>
      <c r="BF93" s="140">
        <f>O93</f>
        <v>0</v>
      </c>
      <c r="BH93" s="140">
        <f>G93*AO93</f>
        <v>0</v>
      </c>
      <c r="BI93" s="140">
        <f>G93*AP93</f>
        <v>0</v>
      </c>
      <c r="BJ93" s="140">
        <f>G93*H93</f>
        <v>0</v>
      </c>
      <c r="BK93" s="140"/>
      <c r="BL93" s="140">
        <v>95</v>
      </c>
      <c r="BW93" s="140" t="str">
        <f>I93</f>
        <v>21</v>
      </c>
      <c r="BX93" s="145" t="s">
        <v>470</v>
      </c>
    </row>
    <row r="94" spans="1:76" s="143" customFormat="1">
      <c r="A94" s="136"/>
      <c r="D94" s="146" t="s">
        <v>481</v>
      </c>
      <c r="E94" s="146" t="s">
        <v>54</v>
      </c>
      <c r="F94" s="147"/>
      <c r="G94" s="148">
        <v>1890</v>
      </c>
      <c r="P94" s="137"/>
    </row>
    <row r="95" spans="1:76" s="143" customFormat="1">
      <c r="A95" s="138">
        <f>A93+1</f>
        <v>34</v>
      </c>
      <c r="B95" s="139" t="s">
        <v>54</v>
      </c>
      <c r="C95" s="139" t="s">
        <v>472</v>
      </c>
      <c r="D95" s="241" t="s">
        <v>473</v>
      </c>
      <c r="E95" s="242"/>
      <c r="F95" s="139" t="s">
        <v>202</v>
      </c>
      <c r="G95" s="140">
        <v>42</v>
      </c>
      <c r="H95" s="140">
        <v>0</v>
      </c>
      <c r="I95" s="141" t="s">
        <v>152</v>
      </c>
      <c r="J95" s="140">
        <f>G95*AO95</f>
        <v>0</v>
      </c>
      <c r="K95" s="140">
        <f>G95*AP95</f>
        <v>0</v>
      </c>
      <c r="L95" s="140">
        <f>G95*H95</f>
        <v>0</v>
      </c>
      <c r="M95" s="140">
        <f>L95*(1+BW95/100)</f>
        <v>0</v>
      </c>
      <c r="N95" s="140">
        <v>0</v>
      </c>
      <c r="O95" s="140">
        <f>G95*N95</f>
        <v>0</v>
      </c>
      <c r="P95" s="142" t="s">
        <v>54</v>
      </c>
      <c r="Z95" s="140">
        <f>IF(AQ95="5",BJ95,0)</f>
        <v>0</v>
      </c>
      <c r="AB95" s="140">
        <f>IF(AQ95="1",BH95,0)</f>
        <v>0</v>
      </c>
      <c r="AC95" s="140">
        <f>IF(AQ95="1",BI95,0)</f>
        <v>0</v>
      </c>
      <c r="AD95" s="140">
        <f>IF(AQ95="7",BH95,0)</f>
        <v>0</v>
      </c>
      <c r="AE95" s="140">
        <f>IF(AQ95="7",BI95,0)</f>
        <v>0</v>
      </c>
      <c r="AF95" s="140">
        <f>IF(AQ95="2",BH95,0)</f>
        <v>0</v>
      </c>
      <c r="AG95" s="140">
        <f>IF(AQ95="2",BI95,0)</f>
        <v>0</v>
      </c>
      <c r="AH95" s="140">
        <f>IF(AQ95="0",BJ95,0)</f>
        <v>0</v>
      </c>
      <c r="AI95" s="144" t="s">
        <v>54</v>
      </c>
      <c r="AJ95" s="140">
        <f>IF(AN95=0,L95,0)</f>
        <v>0</v>
      </c>
      <c r="AK95" s="140">
        <f>IF(AN95=12,L95,0)</f>
        <v>0</v>
      </c>
      <c r="AL95" s="140">
        <f>IF(AN95=21,L95,0)</f>
        <v>0</v>
      </c>
      <c r="AN95" s="140">
        <v>21</v>
      </c>
      <c r="AO95" s="140">
        <f>H95*0</f>
        <v>0</v>
      </c>
      <c r="AP95" s="140">
        <f>H95*(1-0)</f>
        <v>0</v>
      </c>
      <c r="AQ95" s="141" t="s">
        <v>57</v>
      </c>
      <c r="AV95" s="140">
        <f>AW95+AX95</f>
        <v>0</v>
      </c>
      <c r="AW95" s="140">
        <f>G95*AO95</f>
        <v>0</v>
      </c>
      <c r="AX95" s="140">
        <f>G95*AP95</f>
        <v>0</v>
      </c>
      <c r="AY95" s="141" t="s">
        <v>195</v>
      </c>
      <c r="AZ95" s="141" t="s">
        <v>180</v>
      </c>
      <c r="BA95" s="144" t="s">
        <v>64</v>
      </c>
      <c r="BC95" s="140">
        <f>AW95+AX95</f>
        <v>0</v>
      </c>
      <c r="BD95" s="140">
        <f>H95/(100-BE95)*100</f>
        <v>0</v>
      </c>
      <c r="BE95" s="140">
        <v>0</v>
      </c>
      <c r="BF95" s="140">
        <f>O95</f>
        <v>0</v>
      </c>
      <c r="BH95" s="140">
        <f>G95*AO95</f>
        <v>0</v>
      </c>
      <c r="BI95" s="140">
        <f>G95*AP95</f>
        <v>0</v>
      </c>
      <c r="BJ95" s="140">
        <f>G95*H95</f>
        <v>0</v>
      </c>
      <c r="BK95" s="140"/>
      <c r="BL95" s="140">
        <v>95</v>
      </c>
      <c r="BW95" s="140" t="str">
        <f>I95</f>
        <v>21</v>
      </c>
      <c r="BX95" s="145" t="s">
        <v>473</v>
      </c>
    </row>
    <row r="96" spans="1:76" s="143" customFormat="1">
      <c r="A96" s="136"/>
      <c r="D96" s="146" t="s">
        <v>476</v>
      </c>
      <c r="E96" s="146" t="s">
        <v>54</v>
      </c>
      <c r="F96" s="147"/>
      <c r="G96" s="148">
        <v>42</v>
      </c>
      <c r="P96" s="137"/>
    </row>
    <row r="97" spans="1:76" s="143" customFormat="1">
      <c r="A97" s="138">
        <f>A95+1</f>
        <v>35</v>
      </c>
      <c r="B97" s="139" t="s">
        <v>54</v>
      </c>
      <c r="C97" s="139" t="s">
        <v>474</v>
      </c>
      <c r="D97" s="241" t="s">
        <v>475</v>
      </c>
      <c r="E97" s="242"/>
      <c r="F97" s="139" t="s">
        <v>202</v>
      </c>
      <c r="G97" s="140">
        <v>66</v>
      </c>
      <c r="H97" s="140">
        <v>0</v>
      </c>
      <c r="I97" s="141" t="s">
        <v>152</v>
      </c>
      <c r="J97" s="140">
        <f>G97*AO97</f>
        <v>0</v>
      </c>
      <c r="K97" s="140">
        <f>G97*AP97</f>
        <v>0</v>
      </c>
      <c r="L97" s="140">
        <f>G97*H97</f>
        <v>0</v>
      </c>
      <c r="M97" s="140">
        <f>L97*(1+BW97/100)</f>
        <v>0</v>
      </c>
      <c r="N97" s="140">
        <v>0</v>
      </c>
      <c r="O97" s="140">
        <f>G97*N97</f>
        <v>0</v>
      </c>
      <c r="P97" s="142" t="s">
        <v>54</v>
      </c>
      <c r="Z97" s="140">
        <f>IF(AQ97="5",BJ97,0)</f>
        <v>0</v>
      </c>
      <c r="AB97" s="140">
        <f>IF(AQ97="1",BH97,0)</f>
        <v>0</v>
      </c>
      <c r="AC97" s="140">
        <f>IF(AQ97="1",BI97,0)</f>
        <v>0</v>
      </c>
      <c r="AD97" s="140">
        <f>IF(AQ97="7",BH97,0)</f>
        <v>0</v>
      </c>
      <c r="AE97" s="140">
        <f>IF(AQ97="7",BI97,0)</f>
        <v>0</v>
      </c>
      <c r="AF97" s="140">
        <f>IF(AQ97="2",BH97,0)</f>
        <v>0</v>
      </c>
      <c r="AG97" s="140">
        <f>IF(AQ97="2",BI97,0)</f>
        <v>0</v>
      </c>
      <c r="AH97" s="140">
        <f>IF(AQ97="0",BJ97,0)</f>
        <v>0</v>
      </c>
      <c r="AI97" s="144" t="s">
        <v>54</v>
      </c>
      <c r="AJ97" s="140">
        <f>IF(AN97=0,L97,0)</f>
        <v>0</v>
      </c>
      <c r="AK97" s="140">
        <f>IF(AN97=12,L97,0)</f>
        <v>0</v>
      </c>
      <c r="AL97" s="140">
        <f>IF(AN97=21,L97,0)</f>
        <v>0</v>
      </c>
      <c r="AN97" s="140">
        <v>21</v>
      </c>
      <c r="AO97" s="140">
        <f>H97*0</f>
        <v>0</v>
      </c>
      <c r="AP97" s="140">
        <f>H97*(1-0)</f>
        <v>0</v>
      </c>
      <c r="AQ97" s="141" t="s">
        <v>57</v>
      </c>
      <c r="AV97" s="140">
        <f>AW97+AX97</f>
        <v>0</v>
      </c>
      <c r="AW97" s="140">
        <f>G97*AO97</f>
        <v>0</v>
      </c>
      <c r="AX97" s="140">
        <f>G97*AP97</f>
        <v>0</v>
      </c>
      <c r="AY97" s="141" t="s">
        <v>195</v>
      </c>
      <c r="AZ97" s="141" t="s">
        <v>180</v>
      </c>
      <c r="BA97" s="144" t="s">
        <v>64</v>
      </c>
      <c r="BC97" s="140">
        <f>AW97+AX97</f>
        <v>0</v>
      </c>
      <c r="BD97" s="140">
        <f>H97/(100-BE97)*100</f>
        <v>0</v>
      </c>
      <c r="BE97" s="140">
        <v>0</v>
      </c>
      <c r="BF97" s="140">
        <f>O97</f>
        <v>0</v>
      </c>
      <c r="BH97" s="140">
        <f>G97*AO97</f>
        <v>0</v>
      </c>
      <c r="BI97" s="140">
        <f>G97*AP97</f>
        <v>0</v>
      </c>
      <c r="BJ97" s="140">
        <f>G97*H97</f>
        <v>0</v>
      </c>
      <c r="BK97" s="140"/>
      <c r="BL97" s="140">
        <v>95</v>
      </c>
      <c r="BW97" s="140" t="str">
        <f>I97</f>
        <v>21</v>
      </c>
      <c r="BX97" s="145" t="s">
        <v>475</v>
      </c>
    </row>
    <row r="98" spans="1:76" s="143" customFormat="1">
      <c r="A98" s="136"/>
      <c r="D98" s="146" t="s">
        <v>476</v>
      </c>
      <c r="E98" s="146" t="s">
        <v>54</v>
      </c>
      <c r="F98" s="147"/>
      <c r="G98" s="148">
        <v>42</v>
      </c>
      <c r="P98" s="137"/>
    </row>
    <row r="99" spans="1:76">
      <c r="A99" s="86">
        <f>A97+1</f>
        <v>36</v>
      </c>
      <c r="B99" s="3" t="s">
        <v>54</v>
      </c>
      <c r="C99" s="3" t="s">
        <v>193</v>
      </c>
      <c r="D99" s="199" t="s">
        <v>194</v>
      </c>
      <c r="E99" s="200"/>
      <c r="F99" s="87" t="s">
        <v>71</v>
      </c>
      <c r="G99" s="31">
        <v>8</v>
      </c>
      <c r="H99" s="31">
        <v>0</v>
      </c>
      <c r="I99" s="32">
        <v>21</v>
      </c>
      <c r="J99" s="31">
        <f>ROUND(G99*AO99,2)</f>
        <v>0</v>
      </c>
      <c r="K99" s="31">
        <f>ROUND(G99*AP99,2)</f>
        <v>0</v>
      </c>
      <c r="L99" s="31">
        <f>ROUND(G99*H99,2)</f>
        <v>0</v>
      </c>
      <c r="M99" s="31">
        <f>L99*(1+BW99/100)</f>
        <v>0</v>
      </c>
      <c r="N99" s="31">
        <v>1.2E-4</v>
      </c>
      <c r="O99" s="31">
        <f>G99*N99</f>
        <v>9.6000000000000002E-4</v>
      </c>
      <c r="P99" s="33" t="s">
        <v>61</v>
      </c>
      <c r="Z99" s="31">
        <f>ROUND(IF(AQ99="5",BJ99,0),2)</f>
        <v>0</v>
      </c>
      <c r="AB99" s="31">
        <f>ROUND(IF(AQ99="1",BH99,0),2)</f>
        <v>0</v>
      </c>
      <c r="AC99" s="31">
        <f>ROUND(IF(AQ99="1",BI99,0),2)</f>
        <v>0</v>
      </c>
      <c r="AD99" s="31">
        <f>ROUND(IF(AQ99="7",BH99,0),2)</f>
        <v>0</v>
      </c>
      <c r="AE99" s="31">
        <f>ROUND(IF(AQ99="7",BI99,0),2)</f>
        <v>0</v>
      </c>
      <c r="AF99" s="31">
        <f>ROUND(IF(AQ99="2",BH99,0),2)</f>
        <v>0</v>
      </c>
      <c r="AG99" s="31">
        <f>ROUND(IF(AQ99="2",BI99,0),2)</f>
        <v>0</v>
      </c>
      <c r="AH99" s="31">
        <f>ROUND(IF(AQ99="0",BJ99,0),2)</f>
        <v>0</v>
      </c>
      <c r="AI99" s="12" t="s">
        <v>54</v>
      </c>
      <c r="AJ99" s="31">
        <f>IF(AN99=0,L99,0)</f>
        <v>0</v>
      </c>
      <c r="AK99" s="31">
        <f>IF(AN99=12,L99,0)</f>
        <v>0</v>
      </c>
      <c r="AL99" s="31">
        <f>IF(AN99=21,L99,0)</f>
        <v>0</v>
      </c>
      <c r="AN99" s="31">
        <v>21</v>
      </c>
      <c r="AO99" s="31">
        <f>H99*0.753890248</f>
        <v>0</v>
      </c>
      <c r="AP99" s="31">
        <f>H99*(1-0.753890248)</f>
        <v>0</v>
      </c>
      <c r="AQ99" s="34" t="s">
        <v>57</v>
      </c>
      <c r="AV99" s="31">
        <f>ROUND(AW99+AX99,2)</f>
        <v>0</v>
      </c>
      <c r="AW99" s="31">
        <f>ROUND(G99*AO99,2)</f>
        <v>0</v>
      </c>
      <c r="AX99" s="31">
        <f>ROUND(G99*AP99,2)</f>
        <v>0</v>
      </c>
      <c r="AY99" s="34" t="s">
        <v>195</v>
      </c>
      <c r="AZ99" s="34" t="s">
        <v>180</v>
      </c>
      <c r="BA99" s="12" t="s">
        <v>64</v>
      </c>
      <c r="BC99" s="31">
        <f>AW99+AX99</f>
        <v>0</v>
      </c>
      <c r="BD99" s="31">
        <f>H99/(100-BE99)*100</f>
        <v>0</v>
      </c>
      <c r="BE99" s="31">
        <v>0</v>
      </c>
      <c r="BF99" s="31">
        <f>O99</f>
        <v>9.6000000000000002E-4</v>
      </c>
      <c r="BH99" s="31">
        <f>G99*AO99</f>
        <v>0</v>
      </c>
      <c r="BI99" s="31">
        <f>G99*AP99</f>
        <v>0</v>
      </c>
      <c r="BJ99" s="31">
        <f>G99*H99</f>
        <v>0</v>
      </c>
      <c r="BK99" s="34" t="s">
        <v>65</v>
      </c>
      <c r="BL99" s="31">
        <v>95</v>
      </c>
      <c r="BW99" s="31">
        <f>I99</f>
        <v>21</v>
      </c>
      <c r="BX99" s="4" t="s">
        <v>194</v>
      </c>
    </row>
    <row r="100" spans="1:76">
      <c r="A100" s="35"/>
      <c r="D100" s="128" t="s">
        <v>479</v>
      </c>
      <c r="E100" s="36" t="s">
        <v>54</v>
      </c>
      <c r="F100" s="150"/>
      <c r="G100" s="37">
        <v>8</v>
      </c>
      <c r="H100" s="150"/>
      <c r="P100" s="38"/>
    </row>
    <row r="101" spans="1:76">
      <c r="A101" s="86">
        <f>A99+1</f>
        <v>37</v>
      </c>
      <c r="B101" s="3" t="s">
        <v>54</v>
      </c>
      <c r="C101" s="3" t="s">
        <v>196</v>
      </c>
      <c r="D101" s="199" t="s">
        <v>197</v>
      </c>
      <c r="E101" s="200"/>
      <c r="F101" s="87" t="s">
        <v>71</v>
      </c>
      <c r="G101" s="31">
        <v>8</v>
      </c>
      <c r="H101" s="31">
        <v>0</v>
      </c>
      <c r="I101" s="32">
        <v>21</v>
      </c>
      <c r="J101" s="31">
        <f>ROUND(G101*AO101,2)</f>
        <v>0</v>
      </c>
      <c r="K101" s="31">
        <f>ROUND(G101*AP101,2)</f>
        <v>0</v>
      </c>
      <c r="L101" s="31">
        <f>ROUND(G101*H101,2)</f>
        <v>0</v>
      </c>
      <c r="M101" s="31">
        <f>L101*(1+BW101/100)</f>
        <v>0</v>
      </c>
      <c r="N101" s="31">
        <v>9.2699999999999998E-4</v>
      </c>
      <c r="O101" s="31">
        <f>G101*N101</f>
        <v>7.4159999999999998E-3</v>
      </c>
      <c r="P101" s="33" t="s">
        <v>61</v>
      </c>
      <c r="Z101" s="31">
        <f>ROUND(IF(AQ101="5",BJ101,0),2)</f>
        <v>0</v>
      </c>
      <c r="AB101" s="31">
        <f>ROUND(IF(AQ101="1",BH101,0),2)</f>
        <v>0</v>
      </c>
      <c r="AC101" s="31">
        <f>ROUND(IF(AQ101="1",BI101,0),2)</f>
        <v>0</v>
      </c>
      <c r="AD101" s="31">
        <f>ROUND(IF(AQ101="7",BH101,0),2)</f>
        <v>0</v>
      </c>
      <c r="AE101" s="31">
        <f>ROUND(IF(AQ101="7",BI101,0),2)</f>
        <v>0</v>
      </c>
      <c r="AF101" s="31">
        <f>ROUND(IF(AQ101="2",BH101,0),2)</f>
        <v>0</v>
      </c>
      <c r="AG101" s="31">
        <f>ROUND(IF(AQ101="2",BI101,0),2)</f>
        <v>0</v>
      </c>
      <c r="AH101" s="31">
        <f>ROUND(IF(AQ101="0",BJ101,0),2)</f>
        <v>0</v>
      </c>
      <c r="AI101" s="12" t="s">
        <v>54</v>
      </c>
      <c r="AJ101" s="31">
        <f>IF(AN101=0,L101,0)</f>
        <v>0</v>
      </c>
      <c r="AK101" s="31">
        <f>IF(AN101=12,L101,0)</f>
        <v>0</v>
      </c>
      <c r="AL101" s="31">
        <f>IF(AN101=21,L101,0)</f>
        <v>0</v>
      </c>
      <c r="AN101" s="31">
        <v>21</v>
      </c>
      <c r="AO101" s="31">
        <f>H101*1</f>
        <v>0</v>
      </c>
      <c r="AP101" s="31">
        <f>H101*(1-1)</f>
        <v>0</v>
      </c>
      <c r="AQ101" s="34" t="s">
        <v>57</v>
      </c>
      <c r="AV101" s="31">
        <f>ROUND(AW101+AX101,2)</f>
        <v>0</v>
      </c>
      <c r="AW101" s="31">
        <f>ROUND(G101*AO101,2)</f>
        <v>0</v>
      </c>
      <c r="AX101" s="31">
        <f>ROUND(G101*AP101,2)</f>
        <v>0</v>
      </c>
      <c r="AY101" s="34" t="s">
        <v>195</v>
      </c>
      <c r="AZ101" s="34" t="s">
        <v>180</v>
      </c>
      <c r="BA101" s="12" t="s">
        <v>64</v>
      </c>
      <c r="BC101" s="31">
        <f>AW101+AX101</f>
        <v>0</v>
      </c>
      <c r="BD101" s="31">
        <f>H101/(100-BE101)*100</f>
        <v>0</v>
      </c>
      <c r="BE101" s="31">
        <v>0</v>
      </c>
      <c r="BF101" s="31">
        <f>O101</f>
        <v>7.4159999999999998E-3</v>
      </c>
      <c r="BH101" s="31">
        <f>G101*AO101</f>
        <v>0</v>
      </c>
      <c r="BI101" s="31">
        <f>G101*AP101</f>
        <v>0</v>
      </c>
      <c r="BJ101" s="31">
        <f>G101*H101</f>
        <v>0</v>
      </c>
      <c r="BK101" s="34" t="s">
        <v>98</v>
      </c>
      <c r="BL101" s="31">
        <v>95</v>
      </c>
      <c r="BW101" s="31">
        <f>I101</f>
        <v>21</v>
      </c>
      <c r="BX101" s="4" t="s">
        <v>197</v>
      </c>
    </row>
    <row r="102" spans="1:76">
      <c r="A102" s="35"/>
      <c r="D102" s="128" t="s">
        <v>480</v>
      </c>
      <c r="E102" s="36" t="s">
        <v>54</v>
      </c>
      <c r="F102" s="150"/>
      <c r="G102" s="37">
        <v>8</v>
      </c>
      <c r="H102" s="150"/>
      <c r="P102" s="38"/>
    </row>
    <row r="103" spans="1:76">
      <c r="A103" s="39" t="s">
        <v>54</v>
      </c>
      <c r="B103" s="40" t="s">
        <v>54</v>
      </c>
      <c r="C103" s="40" t="s">
        <v>198</v>
      </c>
      <c r="D103" s="246" t="s">
        <v>199</v>
      </c>
      <c r="E103" s="247"/>
      <c r="F103" s="41" t="s">
        <v>4</v>
      </c>
      <c r="G103" s="41" t="s">
        <v>4</v>
      </c>
      <c r="H103" s="41" t="s">
        <v>4</v>
      </c>
      <c r="I103" s="41" t="s">
        <v>4</v>
      </c>
      <c r="J103" s="1">
        <f>SUM(J104:J105)</f>
        <v>0</v>
      </c>
      <c r="K103" s="1">
        <f>SUM(K104:K105)</f>
        <v>0</v>
      </c>
      <c r="L103" s="1">
        <f>SUM(L104:L105)</f>
        <v>0</v>
      </c>
      <c r="M103" s="1">
        <f>SUM(M104:M105)</f>
        <v>0</v>
      </c>
      <c r="N103" s="12" t="s">
        <v>54</v>
      </c>
      <c r="O103" s="1">
        <f>SUM(O104:O105)</f>
        <v>0.24226</v>
      </c>
      <c r="P103" s="42" t="s">
        <v>54</v>
      </c>
      <c r="AI103" s="12" t="s">
        <v>54</v>
      </c>
      <c r="AS103" s="1">
        <f>SUM(AJ104:AJ105)</f>
        <v>0</v>
      </c>
      <c r="AT103" s="1">
        <f>SUM(AK104:AK105)</f>
        <v>0</v>
      </c>
      <c r="AU103" s="1">
        <f>SUM(AL104:AL105)</f>
        <v>0</v>
      </c>
    </row>
    <row r="104" spans="1:76">
      <c r="A104" s="86">
        <f>A101+1</f>
        <v>38</v>
      </c>
      <c r="B104" s="3" t="s">
        <v>54</v>
      </c>
      <c r="C104" s="3" t="s">
        <v>200</v>
      </c>
      <c r="D104" s="199" t="s">
        <v>201</v>
      </c>
      <c r="E104" s="200"/>
      <c r="F104" s="3" t="s">
        <v>202</v>
      </c>
      <c r="G104" s="31">
        <v>2</v>
      </c>
      <c r="H104" s="31">
        <v>0</v>
      </c>
      <c r="I104" s="32">
        <v>21</v>
      </c>
      <c r="J104" s="31">
        <f>ROUND(G104*AO104,2)</f>
        <v>0</v>
      </c>
      <c r="K104" s="31">
        <f>ROUND(G104*AP104,2)</f>
        <v>0</v>
      </c>
      <c r="L104" s="31">
        <f>ROUND(G104*H104,2)</f>
        <v>0</v>
      </c>
      <c r="M104" s="31">
        <f>L104*(1+BW104/100)</f>
        <v>0</v>
      </c>
      <c r="N104" s="31">
        <v>0.12113</v>
      </c>
      <c r="O104" s="31">
        <f>G104*N104</f>
        <v>0.24226</v>
      </c>
      <c r="P104" s="33" t="s">
        <v>61</v>
      </c>
      <c r="Z104" s="31">
        <f>ROUND(IF(AQ104="5",BJ104,0),2)</f>
        <v>0</v>
      </c>
      <c r="AB104" s="31">
        <f>ROUND(IF(AQ104="1",BH104,0),2)</f>
        <v>0</v>
      </c>
      <c r="AC104" s="31">
        <f>ROUND(IF(AQ104="1",BI104,0),2)</f>
        <v>0</v>
      </c>
      <c r="AD104" s="31">
        <f>ROUND(IF(AQ104="7",BH104,0),2)</f>
        <v>0</v>
      </c>
      <c r="AE104" s="31">
        <f>ROUND(IF(AQ104="7",BI104,0),2)</f>
        <v>0</v>
      </c>
      <c r="AF104" s="31">
        <f>ROUND(IF(AQ104="2",BH104,0),2)</f>
        <v>0</v>
      </c>
      <c r="AG104" s="31">
        <f>ROUND(IF(AQ104="2",BI104,0),2)</f>
        <v>0</v>
      </c>
      <c r="AH104" s="31">
        <f>ROUND(IF(AQ104="0",BJ104,0),2)</f>
        <v>0</v>
      </c>
      <c r="AI104" s="12" t="s">
        <v>54</v>
      </c>
      <c r="AJ104" s="31">
        <f>IF(AN104=0,L104,0)</f>
        <v>0</v>
      </c>
      <c r="AK104" s="31">
        <f>IF(AN104=12,L104,0)</f>
        <v>0</v>
      </c>
      <c r="AL104" s="31">
        <f>IF(AN104=21,L104,0)</f>
        <v>0</v>
      </c>
      <c r="AN104" s="31">
        <v>21</v>
      </c>
      <c r="AO104" s="31">
        <f>H104*0.296124611</f>
        <v>0</v>
      </c>
      <c r="AP104" s="31">
        <f>H104*(1-0.296124611)</f>
        <v>0</v>
      </c>
      <c r="AQ104" s="34" t="s">
        <v>57</v>
      </c>
      <c r="AV104" s="31">
        <f>ROUND(AW104+AX104,2)</f>
        <v>0</v>
      </c>
      <c r="AW104" s="31">
        <f>ROUND(G104*AO104,2)</f>
        <v>0</v>
      </c>
      <c r="AX104" s="31">
        <f>ROUND(G104*AP104,2)</f>
        <v>0</v>
      </c>
      <c r="AY104" s="34" t="s">
        <v>203</v>
      </c>
      <c r="AZ104" s="34" t="s">
        <v>180</v>
      </c>
      <c r="BA104" s="12" t="s">
        <v>64</v>
      </c>
      <c r="BC104" s="31">
        <f>AW104+AX104</f>
        <v>0</v>
      </c>
      <c r="BD104" s="31">
        <f>H104/(100-BE104)*100</f>
        <v>0</v>
      </c>
      <c r="BE104" s="31">
        <v>0</v>
      </c>
      <c r="BF104" s="31">
        <f>O104</f>
        <v>0.24226</v>
      </c>
      <c r="BH104" s="31">
        <f>G104*AO104</f>
        <v>0</v>
      </c>
      <c r="BI104" s="31">
        <f>G104*AP104</f>
        <v>0</v>
      </c>
      <c r="BJ104" s="31">
        <f>G104*H104</f>
        <v>0</v>
      </c>
      <c r="BK104" s="34" t="s">
        <v>65</v>
      </c>
      <c r="BL104" s="31">
        <v>97</v>
      </c>
      <c r="BW104" s="31">
        <f>I104</f>
        <v>21</v>
      </c>
      <c r="BX104" s="4" t="s">
        <v>201</v>
      </c>
    </row>
    <row r="105" spans="1:76">
      <c r="A105" s="35"/>
      <c r="D105" s="36" t="s">
        <v>204</v>
      </c>
      <c r="E105" s="36" t="s">
        <v>54</v>
      </c>
      <c r="G105" s="37">
        <v>2</v>
      </c>
      <c r="P105" s="38"/>
    </row>
    <row r="106" spans="1:76">
      <c r="A106" s="39" t="s">
        <v>54</v>
      </c>
      <c r="B106" s="40" t="s">
        <v>54</v>
      </c>
      <c r="C106" s="40" t="s">
        <v>205</v>
      </c>
      <c r="D106" s="246" t="s">
        <v>206</v>
      </c>
      <c r="E106" s="247"/>
      <c r="F106" s="41" t="s">
        <v>4</v>
      </c>
      <c r="G106" s="41" t="s">
        <v>4</v>
      </c>
      <c r="H106" s="41" t="s">
        <v>4</v>
      </c>
      <c r="I106" s="41" t="s">
        <v>4</v>
      </c>
      <c r="J106" s="1">
        <f>SUM(J107:J107)</f>
        <v>0</v>
      </c>
      <c r="K106" s="1">
        <f>SUM(K107:K107)</f>
        <v>0</v>
      </c>
      <c r="L106" s="1">
        <f>SUM(L107:L107)</f>
        <v>0</v>
      </c>
      <c r="M106" s="1">
        <f>SUM(M107:M107)</f>
        <v>0</v>
      </c>
      <c r="N106" s="12" t="s">
        <v>54</v>
      </c>
      <c r="O106" s="1">
        <f>SUM(O107:O107)</f>
        <v>0</v>
      </c>
      <c r="P106" s="42" t="s">
        <v>54</v>
      </c>
      <c r="AI106" s="12" t="s">
        <v>54</v>
      </c>
      <c r="AS106" s="1">
        <f>SUM(AJ107:AJ107)</f>
        <v>0</v>
      </c>
      <c r="AT106" s="1">
        <f>SUM(AK107:AK107)</f>
        <v>0</v>
      </c>
      <c r="AU106" s="1">
        <f>SUM(AL107:AL107)</f>
        <v>0</v>
      </c>
    </row>
    <row r="107" spans="1:76">
      <c r="A107" s="86">
        <f>A104+1</f>
        <v>39</v>
      </c>
      <c r="B107" s="3" t="s">
        <v>54</v>
      </c>
      <c r="C107" s="3" t="s">
        <v>207</v>
      </c>
      <c r="D107" s="241" t="s">
        <v>208</v>
      </c>
      <c r="E107" s="242"/>
      <c r="F107" s="151" t="s">
        <v>60</v>
      </c>
      <c r="G107" s="152">
        <v>5.0885809015999994</v>
      </c>
      <c r="H107" s="152">
        <v>0</v>
      </c>
      <c r="I107" s="32">
        <v>21</v>
      </c>
      <c r="J107" s="31">
        <f>ROUND(G107*AO107,2)</f>
        <v>0</v>
      </c>
      <c r="K107" s="31">
        <f>ROUND(G107*AP107,2)</f>
        <v>0</v>
      </c>
      <c r="L107" s="31">
        <f>ROUND(G107*H107,2)</f>
        <v>0</v>
      </c>
      <c r="M107" s="31">
        <f>L107*(1+BW107/100)</f>
        <v>0</v>
      </c>
      <c r="N107" s="31">
        <v>0</v>
      </c>
      <c r="O107" s="31">
        <f>G107*N107</f>
        <v>0</v>
      </c>
      <c r="P107" s="33" t="s">
        <v>61</v>
      </c>
      <c r="Z107" s="31">
        <f>ROUND(IF(AQ107="5",BJ107,0),2)</f>
        <v>0</v>
      </c>
      <c r="AB107" s="31">
        <f>ROUND(IF(AQ107="1",BH107,0),2)</f>
        <v>0</v>
      </c>
      <c r="AC107" s="31">
        <f>ROUND(IF(AQ107="1",BI107,0),2)</f>
        <v>0</v>
      </c>
      <c r="AD107" s="31">
        <f>ROUND(IF(AQ107="7",BH107,0),2)</f>
        <v>0</v>
      </c>
      <c r="AE107" s="31">
        <f>ROUND(IF(AQ107="7",BI107,0),2)</f>
        <v>0</v>
      </c>
      <c r="AF107" s="31">
        <f>ROUND(IF(AQ107="2",BH107,0),2)</f>
        <v>0</v>
      </c>
      <c r="AG107" s="31">
        <f>ROUND(IF(AQ107="2",BI107,0),2)</f>
        <v>0</v>
      </c>
      <c r="AH107" s="31">
        <f>ROUND(IF(AQ107="0",BJ107,0),2)</f>
        <v>0</v>
      </c>
      <c r="AI107" s="12" t="s">
        <v>54</v>
      </c>
      <c r="AJ107" s="31">
        <f>IF(AN107=0,L107,0)</f>
        <v>0</v>
      </c>
      <c r="AK107" s="31">
        <f>IF(AN107=12,L107,0)</f>
        <v>0</v>
      </c>
      <c r="AL107" s="31">
        <f>IF(AN107=21,L107,0)</f>
        <v>0</v>
      </c>
      <c r="AN107" s="31">
        <v>21</v>
      </c>
      <c r="AO107" s="31">
        <f>H107*0</f>
        <v>0</v>
      </c>
      <c r="AP107" s="31">
        <f>H107*(1-0)</f>
        <v>0</v>
      </c>
      <c r="AQ107" s="34" t="s">
        <v>90</v>
      </c>
      <c r="AV107" s="31">
        <f>ROUND(AW107+AX107,2)</f>
        <v>0</v>
      </c>
      <c r="AW107" s="31">
        <f>ROUND(G107*AO107,2)</f>
        <v>0</v>
      </c>
      <c r="AX107" s="31">
        <f>ROUND(G107*AP107,2)</f>
        <v>0</v>
      </c>
      <c r="AY107" s="34" t="s">
        <v>209</v>
      </c>
      <c r="AZ107" s="34" t="s">
        <v>180</v>
      </c>
      <c r="BA107" s="12" t="s">
        <v>64</v>
      </c>
      <c r="BC107" s="31">
        <f>AW107+AX107</f>
        <v>0</v>
      </c>
      <c r="BD107" s="31">
        <f>H107/(100-BE107)*100</f>
        <v>0</v>
      </c>
      <c r="BE107" s="31">
        <v>0</v>
      </c>
      <c r="BF107" s="31">
        <f>O107</f>
        <v>0</v>
      </c>
      <c r="BH107" s="31">
        <f>G107*AO107</f>
        <v>0</v>
      </c>
      <c r="BI107" s="31">
        <f>G107*AP107</f>
        <v>0</v>
      </c>
      <c r="BJ107" s="31">
        <f>G107*H107</f>
        <v>0</v>
      </c>
      <c r="BK107" s="34" t="s">
        <v>65</v>
      </c>
      <c r="BL107" s="31"/>
      <c r="BW107" s="31">
        <f>I107</f>
        <v>21</v>
      </c>
      <c r="BX107" s="4" t="s">
        <v>208</v>
      </c>
    </row>
    <row r="108" spans="1:76">
      <c r="A108" s="35"/>
      <c r="D108" s="153" t="s">
        <v>482</v>
      </c>
      <c r="E108" s="153" t="s">
        <v>54</v>
      </c>
      <c r="F108" s="154"/>
      <c r="G108" s="155">
        <v>5.0885809015999994</v>
      </c>
      <c r="H108" s="154"/>
      <c r="P108" s="38"/>
      <c r="R108" s="149"/>
    </row>
    <row r="109" spans="1:76">
      <c r="A109" s="39" t="s">
        <v>54</v>
      </c>
      <c r="B109" s="40" t="s">
        <v>54</v>
      </c>
      <c r="C109" s="40" t="s">
        <v>210</v>
      </c>
      <c r="D109" s="246" t="s">
        <v>211</v>
      </c>
      <c r="E109" s="247"/>
      <c r="F109" s="41" t="s">
        <v>4</v>
      </c>
      <c r="G109" s="41" t="s">
        <v>4</v>
      </c>
      <c r="H109" s="41" t="s">
        <v>4</v>
      </c>
      <c r="I109" s="41" t="s">
        <v>4</v>
      </c>
      <c r="J109" s="1">
        <f>SUM(J110:J158)</f>
        <v>0</v>
      </c>
      <c r="K109" s="1">
        <f>SUM(K110:K158)</f>
        <v>0</v>
      </c>
      <c r="L109" s="1">
        <f>SUM(L110:L158)</f>
        <v>0</v>
      </c>
      <c r="M109" s="1">
        <f>SUM(M110:M158)</f>
        <v>0</v>
      </c>
      <c r="N109" s="12" t="s">
        <v>54</v>
      </c>
      <c r="O109" s="1">
        <f>SUM(O110:O158)</f>
        <v>3.9330000000000003</v>
      </c>
      <c r="P109" s="42" t="s">
        <v>54</v>
      </c>
      <c r="AI109" s="12" t="s">
        <v>54</v>
      </c>
      <c r="AS109" s="1">
        <f>SUM(AJ110:AJ158)</f>
        <v>0</v>
      </c>
      <c r="AT109" s="1">
        <f>SUM(AK110:AK158)</f>
        <v>0</v>
      </c>
      <c r="AU109" s="1">
        <f>SUM(AL110:AL158)</f>
        <v>0</v>
      </c>
    </row>
    <row r="110" spans="1:76">
      <c r="A110" s="2">
        <f>A107+1</f>
        <v>40</v>
      </c>
      <c r="B110" s="3" t="s">
        <v>54</v>
      </c>
      <c r="C110" s="3" t="s">
        <v>212</v>
      </c>
      <c r="D110" s="239" t="s">
        <v>213</v>
      </c>
      <c r="E110" s="240"/>
      <c r="F110" s="151" t="s">
        <v>202</v>
      </c>
      <c r="G110" s="152">
        <v>206</v>
      </c>
      <c r="H110" s="152">
        <v>0</v>
      </c>
      <c r="I110" s="32">
        <v>21</v>
      </c>
      <c r="J110" s="31">
        <f>ROUND(G110*AO110,2)</f>
        <v>0</v>
      </c>
      <c r="K110" s="31">
        <f>ROUND(G110*AP110,2)</f>
        <v>0</v>
      </c>
      <c r="L110" s="31">
        <f>ROUND(G110*H110,2)</f>
        <v>0</v>
      </c>
      <c r="M110" s="31">
        <f>L110*(1+BW110/100)</f>
        <v>0</v>
      </c>
      <c r="N110" s="31">
        <v>1.1E-4</v>
      </c>
      <c r="O110" s="31">
        <f>G110*N110</f>
        <v>2.266E-2</v>
      </c>
      <c r="P110" s="33" t="s">
        <v>61</v>
      </c>
      <c r="Z110" s="31">
        <f>ROUND(IF(AQ110="5",BJ110,0),2)</f>
        <v>0</v>
      </c>
      <c r="AB110" s="31">
        <f>ROUND(IF(AQ110="1",BH110,0),2)</f>
        <v>0</v>
      </c>
      <c r="AC110" s="31">
        <f>ROUND(IF(AQ110="1",BI110,0),2)</f>
        <v>0</v>
      </c>
      <c r="AD110" s="31">
        <f>ROUND(IF(AQ110="7",BH110,0),2)</f>
        <v>0</v>
      </c>
      <c r="AE110" s="31">
        <f>ROUND(IF(AQ110="7",BI110,0),2)</f>
        <v>0</v>
      </c>
      <c r="AF110" s="31">
        <f>ROUND(IF(AQ110="2",BH110,0),2)</f>
        <v>0</v>
      </c>
      <c r="AG110" s="31">
        <f>ROUND(IF(AQ110="2",BI110,0),2)</f>
        <v>0</v>
      </c>
      <c r="AH110" s="31">
        <f>ROUND(IF(AQ110="0",BJ110,0),2)</f>
        <v>0</v>
      </c>
      <c r="AI110" s="12" t="s">
        <v>54</v>
      </c>
      <c r="AJ110" s="31">
        <f>IF(AN110=0,L110,0)</f>
        <v>0</v>
      </c>
      <c r="AK110" s="31">
        <f>IF(AN110=12,L110,0)</f>
        <v>0</v>
      </c>
      <c r="AL110" s="31">
        <f>IF(AN110=21,L110,0)</f>
        <v>0</v>
      </c>
      <c r="AN110" s="31">
        <v>21</v>
      </c>
      <c r="AO110" s="31">
        <f>H110*0.052485812</f>
        <v>0</v>
      </c>
      <c r="AP110" s="31">
        <f>H110*(1-0.052485812)</f>
        <v>0</v>
      </c>
      <c r="AQ110" s="34" t="s">
        <v>68</v>
      </c>
      <c r="AV110" s="31">
        <f>ROUND(AW110+AX110,2)</f>
        <v>0</v>
      </c>
      <c r="AW110" s="31">
        <f>ROUND(G110*AO110,2)</f>
        <v>0</v>
      </c>
      <c r="AX110" s="31">
        <f>ROUND(G110*AP110,2)</f>
        <v>0</v>
      </c>
      <c r="AY110" s="34" t="s">
        <v>214</v>
      </c>
      <c r="AZ110" s="34" t="s">
        <v>180</v>
      </c>
      <c r="BA110" s="12" t="s">
        <v>64</v>
      </c>
      <c r="BC110" s="31">
        <f>AW110+AX110</f>
        <v>0</v>
      </c>
      <c r="BD110" s="31">
        <f>H110/(100-BE110)*100</f>
        <v>0</v>
      </c>
      <c r="BE110" s="31">
        <v>0</v>
      </c>
      <c r="BF110" s="31">
        <f>O110</f>
        <v>2.266E-2</v>
      </c>
      <c r="BH110" s="31">
        <f>G110*AO110</f>
        <v>0</v>
      </c>
      <c r="BI110" s="31">
        <f>G110*AP110</f>
        <v>0</v>
      </c>
      <c r="BJ110" s="31">
        <f>G110*H110</f>
        <v>0</v>
      </c>
      <c r="BK110" s="34" t="s">
        <v>65</v>
      </c>
      <c r="BL110" s="31"/>
      <c r="BW110" s="31">
        <f>I110</f>
        <v>21</v>
      </c>
      <c r="BX110" s="4" t="s">
        <v>213</v>
      </c>
    </row>
    <row r="111" spans="1:76">
      <c r="A111" s="35"/>
      <c r="D111" s="153" t="s">
        <v>215</v>
      </c>
      <c r="E111" s="153" t="s">
        <v>54</v>
      </c>
      <c r="F111" s="154"/>
      <c r="G111" s="155">
        <v>206</v>
      </c>
      <c r="H111" s="154"/>
      <c r="P111" s="38"/>
    </row>
    <row r="112" spans="1:76">
      <c r="A112" s="86">
        <f>A110+1</f>
        <v>41</v>
      </c>
      <c r="B112" s="3" t="s">
        <v>54</v>
      </c>
      <c r="C112" s="3" t="s">
        <v>216</v>
      </c>
      <c r="D112" s="239" t="s">
        <v>217</v>
      </c>
      <c r="E112" s="240"/>
      <c r="F112" s="151" t="s">
        <v>202</v>
      </c>
      <c r="G112" s="152">
        <v>206</v>
      </c>
      <c r="H112" s="152">
        <v>0</v>
      </c>
      <c r="I112" s="32">
        <v>21</v>
      </c>
      <c r="J112" s="31">
        <f>ROUND(G112*AO112,2)</f>
        <v>0</v>
      </c>
      <c r="K112" s="31">
        <f>ROUND(G112*AP112,2)</f>
        <v>0</v>
      </c>
      <c r="L112" s="31">
        <f>ROUND(G112*H112,2)</f>
        <v>0</v>
      </c>
      <c r="M112" s="31">
        <f>L112*(1+BW112/100)</f>
        <v>0</v>
      </c>
      <c r="N112" s="31">
        <v>1.72E-2</v>
      </c>
      <c r="O112" s="31">
        <f>G112*N112</f>
        <v>3.5432000000000001</v>
      </c>
      <c r="P112" s="33" t="s">
        <v>61</v>
      </c>
      <c r="Z112" s="31">
        <f>ROUND(IF(AQ112="5",BJ112,0),2)</f>
        <v>0</v>
      </c>
      <c r="AB112" s="31">
        <f>ROUND(IF(AQ112="1",BH112,0),2)</f>
        <v>0</v>
      </c>
      <c r="AC112" s="31">
        <f>ROUND(IF(AQ112="1",BI112,0),2)</f>
        <v>0</v>
      </c>
      <c r="AD112" s="31">
        <f>ROUND(IF(AQ112="7",BH112,0),2)</f>
        <v>0</v>
      </c>
      <c r="AE112" s="31">
        <f>ROUND(IF(AQ112="7",BI112,0),2)</f>
        <v>0</v>
      </c>
      <c r="AF112" s="31">
        <f>ROUND(IF(AQ112="2",BH112,0),2)</f>
        <v>0</v>
      </c>
      <c r="AG112" s="31">
        <f>ROUND(IF(AQ112="2",BI112,0),2)</f>
        <v>0</v>
      </c>
      <c r="AH112" s="31">
        <f>ROUND(IF(AQ112="0",BJ112,0),2)</f>
        <v>0</v>
      </c>
      <c r="AI112" s="12" t="s">
        <v>54</v>
      </c>
      <c r="AJ112" s="31">
        <f>IF(AN112=0,L112,0)</f>
        <v>0</v>
      </c>
      <c r="AK112" s="31">
        <f>IF(AN112=12,L112,0)</f>
        <v>0</v>
      </c>
      <c r="AL112" s="31">
        <f>IF(AN112=21,L112,0)</f>
        <v>0</v>
      </c>
      <c r="AN112" s="31">
        <v>21</v>
      </c>
      <c r="AO112" s="31">
        <f>H112*1</f>
        <v>0</v>
      </c>
      <c r="AP112" s="31">
        <f>H112*(1-1)</f>
        <v>0</v>
      </c>
      <c r="AQ112" s="34" t="s">
        <v>57</v>
      </c>
      <c r="AV112" s="31">
        <f>ROUND(AW112+AX112,2)</f>
        <v>0</v>
      </c>
      <c r="AW112" s="31">
        <f>ROUND(G112*AO112,2)</f>
        <v>0</v>
      </c>
      <c r="AX112" s="31">
        <f>ROUND(G112*AP112,2)</f>
        <v>0</v>
      </c>
      <c r="AY112" s="34" t="s">
        <v>214</v>
      </c>
      <c r="AZ112" s="34" t="s">
        <v>180</v>
      </c>
      <c r="BA112" s="12" t="s">
        <v>64</v>
      </c>
      <c r="BC112" s="31">
        <f>AW112+AX112</f>
        <v>0</v>
      </c>
      <c r="BD112" s="31">
        <f>H112/(100-BE112)*100</f>
        <v>0</v>
      </c>
      <c r="BE112" s="31">
        <v>0</v>
      </c>
      <c r="BF112" s="31">
        <f>O112</f>
        <v>3.5432000000000001</v>
      </c>
      <c r="BH112" s="31">
        <f>G112*AO112</f>
        <v>0</v>
      </c>
      <c r="BI112" s="31">
        <f>G112*AP112</f>
        <v>0</v>
      </c>
      <c r="BJ112" s="31">
        <f>G112*H112</f>
        <v>0</v>
      </c>
      <c r="BK112" s="34" t="s">
        <v>98</v>
      </c>
      <c r="BL112" s="31"/>
      <c r="BW112" s="31">
        <f>I112</f>
        <v>21</v>
      </c>
      <c r="BX112" s="4" t="s">
        <v>217</v>
      </c>
    </row>
    <row r="113" spans="1:76">
      <c r="A113" s="35"/>
      <c r="D113" s="153" t="s">
        <v>215</v>
      </c>
      <c r="E113" s="153" t="s">
        <v>54</v>
      </c>
      <c r="F113" s="154"/>
      <c r="G113" s="155">
        <v>206</v>
      </c>
      <c r="H113" s="154"/>
      <c r="P113" s="38"/>
    </row>
    <row r="114" spans="1:76">
      <c r="A114" s="86">
        <f>A112+1</f>
        <v>42</v>
      </c>
      <c r="B114" s="3" t="s">
        <v>54</v>
      </c>
      <c r="C114" s="3" t="s">
        <v>218</v>
      </c>
      <c r="D114" s="239" t="s">
        <v>219</v>
      </c>
      <c r="E114" s="240"/>
      <c r="F114" s="151" t="s">
        <v>202</v>
      </c>
      <c r="G114" s="152">
        <v>12</v>
      </c>
      <c r="H114" s="152">
        <v>0</v>
      </c>
      <c r="I114" s="32">
        <v>21</v>
      </c>
      <c r="J114" s="31">
        <f>ROUND(G114*AO114,2)</f>
        <v>0</v>
      </c>
      <c r="K114" s="31">
        <f>ROUND(G114*AP114,2)</f>
        <v>0</v>
      </c>
      <c r="L114" s="31">
        <f>ROUND(G114*H114,2)</f>
        <v>0</v>
      </c>
      <c r="M114" s="31">
        <f>L114*(1+BW114/100)</f>
        <v>0</v>
      </c>
      <c r="N114" s="31">
        <v>2.0000000000000002E-5</v>
      </c>
      <c r="O114" s="31">
        <f>G114*N114</f>
        <v>2.4000000000000003E-4</v>
      </c>
      <c r="P114" s="33" t="s">
        <v>61</v>
      </c>
      <c r="Z114" s="31">
        <f>ROUND(IF(AQ114="5",BJ114,0),2)</f>
        <v>0</v>
      </c>
      <c r="AB114" s="31">
        <f>ROUND(IF(AQ114="1",BH114,0),2)</f>
        <v>0</v>
      </c>
      <c r="AC114" s="31">
        <f>ROUND(IF(AQ114="1",BI114,0),2)</f>
        <v>0</v>
      </c>
      <c r="AD114" s="31">
        <f>ROUND(IF(AQ114="7",BH114,0),2)</f>
        <v>0</v>
      </c>
      <c r="AE114" s="31">
        <f>ROUND(IF(AQ114="7",BI114,0),2)</f>
        <v>0</v>
      </c>
      <c r="AF114" s="31">
        <f>ROUND(IF(AQ114="2",BH114,0),2)</f>
        <v>0</v>
      </c>
      <c r="AG114" s="31">
        <f>ROUND(IF(AQ114="2",BI114,0),2)</f>
        <v>0</v>
      </c>
      <c r="AH114" s="31">
        <f>ROUND(IF(AQ114="0",BJ114,0),2)</f>
        <v>0</v>
      </c>
      <c r="AI114" s="12" t="s">
        <v>54</v>
      </c>
      <c r="AJ114" s="31">
        <f>IF(AN114=0,L114,0)</f>
        <v>0</v>
      </c>
      <c r="AK114" s="31">
        <f>IF(AN114=12,L114,0)</f>
        <v>0</v>
      </c>
      <c r="AL114" s="31">
        <f>IF(AN114=21,L114,0)</f>
        <v>0</v>
      </c>
      <c r="AN114" s="31">
        <v>21</v>
      </c>
      <c r="AO114" s="31">
        <f>H114*0.018697674</f>
        <v>0</v>
      </c>
      <c r="AP114" s="31">
        <f>H114*(1-0.018697674)</f>
        <v>0</v>
      </c>
      <c r="AQ114" s="34" t="s">
        <v>68</v>
      </c>
      <c r="AV114" s="31">
        <f>ROUND(AW114+AX114,2)</f>
        <v>0</v>
      </c>
      <c r="AW114" s="31">
        <f>ROUND(G114*AO114,2)</f>
        <v>0</v>
      </c>
      <c r="AX114" s="31">
        <f>ROUND(G114*AP114,2)</f>
        <v>0</v>
      </c>
      <c r="AY114" s="34" t="s">
        <v>214</v>
      </c>
      <c r="AZ114" s="34" t="s">
        <v>180</v>
      </c>
      <c r="BA114" s="12" t="s">
        <v>64</v>
      </c>
      <c r="BC114" s="31">
        <f>AW114+AX114</f>
        <v>0</v>
      </c>
      <c r="BD114" s="31">
        <f>H114/(100-BE114)*100</f>
        <v>0</v>
      </c>
      <c r="BE114" s="31">
        <v>0</v>
      </c>
      <c r="BF114" s="31">
        <f>O114</f>
        <v>2.4000000000000003E-4</v>
      </c>
      <c r="BH114" s="31">
        <f>G114*AO114</f>
        <v>0</v>
      </c>
      <c r="BI114" s="31">
        <f>G114*AP114</f>
        <v>0</v>
      </c>
      <c r="BJ114" s="31">
        <f>G114*H114</f>
        <v>0</v>
      </c>
      <c r="BK114" s="34" t="s">
        <v>65</v>
      </c>
      <c r="BL114" s="31"/>
      <c r="BW114" s="31">
        <f>I114</f>
        <v>21</v>
      </c>
      <c r="BX114" s="4" t="s">
        <v>219</v>
      </c>
    </row>
    <row r="115" spans="1:76">
      <c r="A115" s="35"/>
      <c r="D115" s="153" t="s">
        <v>220</v>
      </c>
      <c r="E115" s="153" t="s">
        <v>54</v>
      </c>
      <c r="F115" s="154"/>
      <c r="G115" s="155">
        <v>12</v>
      </c>
      <c r="H115" s="154"/>
      <c r="P115" s="38"/>
    </row>
    <row r="116" spans="1:76">
      <c r="A116" s="86">
        <f>A114+1</f>
        <v>43</v>
      </c>
      <c r="B116" s="3" t="s">
        <v>54</v>
      </c>
      <c r="C116" s="3" t="s">
        <v>221</v>
      </c>
      <c r="D116" s="239" t="s">
        <v>222</v>
      </c>
      <c r="E116" s="240"/>
      <c r="F116" s="151" t="s">
        <v>202</v>
      </c>
      <c r="G116" s="152">
        <v>12</v>
      </c>
      <c r="H116" s="152">
        <v>0</v>
      </c>
      <c r="I116" s="32">
        <v>21</v>
      </c>
      <c r="J116" s="31">
        <f>ROUND(G116*AO116,2)</f>
        <v>0</v>
      </c>
      <c r="K116" s="31">
        <f>ROUND(G116*AP116,2)</f>
        <v>0</v>
      </c>
      <c r="L116" s="31">
        <f>ROUND(G116*H116,2)</f>
        <v>0</v>
      </c>
      <c r="M116" s="31">
        <f>L116*(1+BW116/100)</f>
        <v>0</v>
      </c>
      <c r="N116" s="31">
        <v>1.66E-3</v>
      </c>
      <c r="O116" s="31">
        <f>G116*N116</f>
        <v>1.992E-2</v>
      </c>
      <c r="P116" s="33" t="s">
        <v>61</v>
      </c>
      <c r="Z116" s="31">
        <f>ROUND(IF(AQ116="5",BJ116,0),2)</f>
        <v>0</v>
      </c>
      <c r="AB116" s="31">
        <f>ROUND(IF(AQ116="1",BH116,0),2)</f>
        <v>0</v>
      </c>
      <c r="AC116" s="31">
        <f>ROUND(IF(AQ116="1",BI116,0),2)</f>
        <v>0</v>
      </c>
      <c r="AD116" s="31">
        <f>ROUND(IF(AQ116="7",BH116,0),2)</f>
        <v>0</v>
      </c>
      <c r="AE116" s="31">
        <f>ROUND(IF(AQ116="7",BI116,0),2)</f>
        <v>0</v>
      </c>
      <c r="AF116" s="31">
        <f>ROUND(IF(AQ116="2",BH116,0),2)</f>
        <v>0</v>
      </c>
      <c r="AG116" s="31">
        <f>ROUND(IF(AQ116="2",BI116,0),2)</f>
        <v>0</v>
      </c>
      <c r="AH116" s="31">
        <f>ROUND(IF(AQ116="0",BJ116,0),2)</f>
        <v>0</v>
      </c>
      <c r="AI116" s="12" t="s">
        <v>54</v>
      </c>
      <c r="AJ116" s="31">
        <f>IF(AN116=0,L116,0)</f>
        <v>0</v>
      </c>
      <c r="AK116" s="31">
        <f>IF(AN116=12,L116,0)</f>
        <v>0</v>
      </c>
      <c r="AL116" s="31">
        <f>IF(AN116=21,L116,0)</f>
        <v>0</v>
      </c>
      <c r="AN116" s="31">
        <v>21</v>
      </c>
      <c r="AO116" s="31">
        <f>H116*1</f>
        <v>0</v>
      </c>
      <c r="AP116" s="31">
        <f>H116*(1-1)</f>
        <v>0</v>
      </c>
      <c r="AQ116" s="34" t="s">
        <v>57</v>
      </c>
      <c r="AV116" s="31">
        <f>ROUND(AW116+AX116,2)</f>
        <v>0</v>
      </c>
      <c r="AW116" s="31">
        <f>ROUND(G116*AO116,2)</f>
        <v>0</v>
      </c>
      <c r="AX116" s="31">
        <f>ROUND(G116*AP116,2)</f>
        <v>0</v>
      </c>
      <c r="AY116" s="34" t="s">
        <v>214</v>
      </c>
      <c r="AZ116" s="34" t="s">
        <v>180</v>
      </c>
      <c r="BA116" s="12" t="s">
        <v>64</v>
      </c>
      <c r="BC116" s="31">
        <f>AW116+AX116</f>
        <v>0</v>
      </c>
      <c r="BD116" s="31">
        <f>H116/(100-BE116)*100</f>
        <v>0</v>
      </c>
      <c r="BE116" s="31">
        <v>0</v>
      </c>
      <c r="BF116" s="31">
        <f>O116</f>
        <v>1.992E-2</v>
      </c>
      <c r="BH116" s="31">
        <f>G116*AO116</f>
        <v>0</v>
      </c>
      <c r="BI116" s="31">
        <f>G116*AP116</f>
        <v>0</v>
      </c>
      <c r="BJ116" s="31">
        <f>G116*H116</f>
        <v>0</v>
      </c>
      <c r="BK116" s="34" t="s">
        <v>98</v>
      </c>
      <c r="BL116" s="31"/>
      <c r="BW116" s="31">
        <f>I116</f>
        <v>21</v>
      </c>
      <c r="BX116" s="4" t="s">
        <v>222</v>
      </c>
    </row>
    <row r="117" spans="1:76">
      <c r="A117" s="35"/>
      <c r="D117" s="153" t="s">
        <v>220</v>
      </c>
      <c r="E117" s="153" t="s">
        <v>54</v>
      </c>
      <c r="F117" s="154"/>
      <c r="G117" s="155">
        <v>12</v>
      </c>
      <c r="H117" s="154"/>
      <c r="P117" s="38"/>
    </row>
    <row r="118" spans="1:76">
      <c r="A118" s="86">
        <f>A116+1</f>
        <v>44</v>
      </c>
      <c r="B118" s="3" t="s">
        <v>54</v>
      </c>
      <c r="C118" s="3" t="s">
        <v>223</v>
      </c>
      <c r="D118" s="239" t="s">
        <v>224</v>
      </c>
      <c r="E118" s="240"/>
      <c r="F118" s="151" t="s">
        <v>202</v>
      </c>
      <c r="G118" s="152">
        <v>2</v>
      </c>
      <c r="H118" s="152">
        <v>0</v>
      </c>
      <c r="I118" s="32">
        <v>21</v>
      </c>
      <c r="J118" s="31">
        <f>ROUND(G118*AO118,2)</f>
        <v>0</v>
      </c>
      <c r="K118" s="31">
        <f>ROUND(G118*AP118,2)</f>
        <v>0</v>
      </c>
      <c r="L118" s="31">
        <f>ROUND(G118*H118,2)</f>
        <v>0</v>
      </c>
      <c r="M118" s="31">
        <f>L118*(1+BW118/100)</f>
        <v>0</v>
      </c>
      <c r="N118" s="31">
        <v>4.8000000000000001E-4</v>
      </c>
      <c r="O118" s="31">
        <f>G118*N118</f>
        <v>9.6000000000000002E-4</v>
      </c>
      <c r="P118" s="33" t="s">
        <v>61</v>
      </c>
      <c r="Z118" s="31">
        <f>ROUND(IF(AQ118="5",BJ118,0),2)</f>
        <v>0</v>
      </c>
      <c r="AB118" s="31">
        <f>ROUND(IF(AQ118="1",BH118,0),2)</f>
        <v>0</v>
      </c>
      <c r="AC118" s="31">
        <f>ROUND(IF(AQ118="1",BI118,0),2)</f>
        <v>0</v>
      </c>
      <c r="AD118" s="31">
        <f>ROUND(IF(AQ118="7",BH118,0),2)</f>
        <v>0</v>
      </c>
      <c r="AE118" s="31">
        <f>ROUND(IF(AQ118="7",BI118,0),2)</f>
        <v>0</v>
      </c>
      <c r="AF118" s="31">
        <f>ROUND(IF(AQ118="2",BH118,0),2)</f>
        <v>0</v>
      </c>
      <c r="AG118" s="31">
        <f>ROUND(IF(AQ118="2",BI118,0),2)</f>
        <v>0</v>
      </c>
      <c r="AH118" s="31">
        <f>ROUND(IF(AQ118="0",BJ118,0),2)</f>
        <v>0</v>
      </c>
      <c r="AI118" s="12" t="s">
        <v>54</v>
      </c>
      <c r="AJ118" s="31">
        <f>IF(AN118=0,L118,0)</f>
        <v>0</v>
      </c>
      <c r="AK118" s="31">
        <f>IF(AN118=12,L118,0)</f>
        <v>0</v>
      </c>
      <c r="AL118" s="31">
        <f>IF(AN118=21,L118,0)</f>
        <v>0</v>
      </c>
      <c r="AN118" s="31">
        <v>21</v>
      </c>
      <c r="AO118" s="31">
        <f>H118*0.108348721</f>
        <v>0</v>
      </c>
      <c r="AP118" s="31">
        <f>H118*(1-0.108348721)</f>
        <v>0</v>
      </c>
      <c r="AQ118" s="34" t="s">
        <v>68</v>
      </c>
      <c r="AV118" s="31">
        <f>ROUND(AW118+AX118,2)</f>
        <v>0</v>
      </c>
      <c r="AW118" s="31">
        <f>ROUND(G118*AO118,2)</f>
        <v>0</v>
      </c>
      <c r="AX118" s="31">
        <f>ROUND(G118*AP118,2)</f>
        <v>0</v>
      </c>
      <c r="AY118" s="34" t="s">
        <v>214</v>
      </c>
      <c r="AZ118" s="34" t="s">
        <v>180</v>
      </c>
      <c r="BA118" s="12" t="s">
        <v>64</v>
      </c>
      <c r="BC118" s="31">
        <f>AW118+AX118</f>
        <v>0</v>
      </c>
      <c r="BD118" s="31">
        <f>H118/(100-BE118)*100</f>
        <v>0</v>
      </c>
      <c r="BE118" s="31">
        <v>0</v>
      </c>
      <c r="BF118" s="31">
        <f>O118</f>
        <v>9.6000000000000002E-4</v>
      </c>
      <c r="BH118" s="31">
        <f>G118*AO118</f>
        <v>0</v>
      </c>
      <c r="BI118" s="31">
        <f>G118*AP118</f>
        <v>0</v>
      </c>
      <c r="BJ118" s="31">
        <f>G118*H118</f>
        <v>0</v>
      </c>
      <c r="BK118" s="34" t="s">
        <v>65</v>
      </c>
      <c r="BL118" s="31"/>
      <c r="BW118" s="31">
        <f>I118</f>
        <v>21</v>
      </c>
      <c r="BX118" s="4" t="s">
        <v>224</v>
      </c>
    </row>
    <row r="119" spans="1:76">
      <c r="A119" s="35"/>
      <c r="D119" s="153" t="s">
        <v>225</v>
      </c>
      <c r="E119" s="153" t="s">
        <v>54</v>
      </c>
      <c r="F119" s="154"/>
      <c r="G119" s="155">
        <v>2</v>
      </c>
      <c r="H119" s="154"/>
      <c r="P119" s="38"/>
    </row>
    <row r="120" spans="1:76">
      <c r="A120" s="86">
        <f>A118+1</f>
        <v>45</v>
      </c>
      <c r="B120" s="3" t="s">
        <v>54</v>
      </c>
      <c r="C120" s="3" t="s">
        <v>226</v>
      </c>
      <c r="D120" s="239" t="s">
        <v>227</v>
      </c>
      <c r="E120" s="240"/>
      <c r="F120" s="151" t="s">
        <v>202</v>
      </c>
      <c r="G120" s="152">
        <v>2</v>
      </c>
      <c r="H120" s="152">
        <v>0</v>
      </c>
      <c r="I120" s="32">
        <v>21</v>
      </c>
      <c r="J120" s="31">
        <f>ROUND(G120*AO120,2)</f>
        <v>0</v>
      </c>
      <c r="K120" s="31">
        <f>ROUND(G120*AP120,2)</f>
        <v>0</v>
      </c>
      <c r="L120" s="31">
        <f>ROUND(G120*H120,2)</f>
        <v>0</v>
      </c>
      <c r="M120" s="31">
        <f>L120*(1+BW120/100)</f>
        <v>0</v>
      </c>
      <c r="N120" s="31">
        <v>9.0499999999999997E-2</v>
      </c>
      <c r="O120" s="31">
        <f>G120*N120</f>
        <v>0.18099999999999999</v>
      </c>
      <c r="P120" s="33" t="s">
        <v>61</v>
      </c>
      <c r="Z120" s="31">
        <f>ROUND(IF(AQ120="5",BJ120,0),2)</f>
        <v>0</v>
      </c>
      <c r="AB120" s="31">
        <f>ROUND(IF(AQ120="1",BH120,0),2)</f>
        <v>0</v>
      </c>
      <c r="AC120" s="31">
        <f>ROUND(IF(AQ120="1",BI120,0),2)</f>
        <v>0</v>
      </c>
      <c r="AD120" s="31">
        <f>ROUND(IF(AQ120="7",BH120,0),2)</f>
        <v>0</v>
      </c>
      <c r="AE120" s="31">
        <f>ROUND(IF(AQ120="7",BI120,0),2)</f>
        <v>0</v>
      </c>
      <c r="AF120" s="31">
        <f>ROUND(IF(AQ120="2",BH120,0),2)</f>
        <v>0</v>
      </c>
      <c r="AG120" s="31">
        <f>ROUND(IF(AQ120="2",BI120,0),2)</f>
        <v>0</v>
      </c>
      <c r="AH120" s="31">
        <f>ROUND(IF(AQ120="0",BJ120,0),2)</f>
        <v>0</v>
      </c>
      <c r="AI120" s="12" t="s">
        <v>54</v>
      </c>
      <c r="AJ120" s="31">
        <f>IF(AN120=0,L120,0)</f>
        <v>0</v>
      </c>
      <c r="AK120" s="31">
        <f>IF(AN120=12,L120,0)</f>
        <v>0</v>
      </c>
      <c r="AL120" s="31">
        <f>IF(AN120=21,L120,0)</f>
        <v>0</v>
      </c>
      <c r="AN120" s="31">
        <v>21</v>
      </c>
      <c r="AO120" s="31">
        <f>H120*1</f>
        <v>0</v>
      </c>
      <c r="AP120" s="31">
        <f>H120*(1-1)</f>
        <v>0</v>
      </c>
      <c r="AQ120" s="34" t="s">
        <v>57</v>
      </c>
      <c r="AV120" s="31">
        <f>ROUND(AW120+AX120,2)</f>
        <v>0</v>
      </c>
      <c r="AW120" s="31">
        <f>ROUND(G120*AO120,2)</f>
        <v>0</v>
      </c>
      <c r="AX120" s="31">
        <f>ROUND(G120*AP120,2)</f>
        <v>0</v>
      </c>
      <c r="AY120" s="34" t="s">
        <v>214</v>
      </c>
      <c r="AZ120" s="34" t="s">
        <v>180</v>
      </c>
      <c r="BA120" s="12" t="s">
        <v>64</v>
      </c>
      <c r="BC120" s="31">
        <f>AW120+AX120</f>
        <v>0</v>
      </c>
      <c r="BD120" s="31">
        <f>H120/(100-BE120)*100</f>
        <v>0</v>
      </c>
      <c r="BE120" s="31">
        <v>0</v>
      </c>
      <c r="BF120" s="31">
        <f>O120</f>
        <v>0.18099999999999999</v>
      </c>
      <c r="BH120" s="31">
        <f>G120*AO120</f>
        <v>0</v>
      </c>
      <c r="BI120" s="31">
        <f>G120*AP120</f>
        <v>0</v>
      </c>
      <c r="BJ120" s="31">
        <f>G120*H120</f>
        <v>0</v>
      </c>
      <c r="BK120" s="34" t="s">
        <v>98</v>
      </c>
      <c r="BL120" s="31"/>
      <c r="BW120" s="31">
        <f>I120</f>
        <v>21</v>
      </c>
      <c r="BX120" s="4" t="s">
        <v>227</v>
      </c>
    </row>
    <row r="121" spans="1:76">
      <c r="A121" s="35"/>
      <c r="D121" s="153" t="s">
        <v>228</v>
      </c>
      <c r="E121" s="153" t="s">
        <v>54</v>
      </c>
      <c r="F121" s="154"/>
      <c r="G121" s="155">
        <v>2</v>
      </c>
      <c r="H121" s="154"/>
      <c r="P121" s="38"/>
    </row>
    <row r="122" spans="1:76">
      <c r="A122" s="86">
        <f>A120+1</f>
        <v>46</v>
      </c>
      <c r="B122" s="3" t="s">
        <v>54</v>
      </c>
      <c r="C122" s="3" t="s">
        <v>229</v>
      </c>
      <c r="D122" s="239" t="s">
        <v>230</v>
      </c>
      <c r="E122" s="240"/>
      <c r="F122" s="151" t="s">
        <v>202</v>
      </c>
      <c r="G122" s="152">
        <v>2</v>
      </c>
      <c r="H122" s="152">
        <v>0</v>
      </c>
      <c r="I122" s="32">
        <v>21</v>
      </c>
      <c r="J122" s="31">
        <f>ROUND(G122*AO122,2)</f>
        <v>0</v>
      </c>
      <c r="K122" s="31">
        <f>ROUND(G122*AP122,2)</f>
        <v>0</v>
      </c>
      <c r="L122" s="31">
        <f>ROUND(G122*H122,2)</f>
        <v>0</v>
      </c>
      <c r="M122" s="31">
        <f>L122*(1+BW122/100)</f>
        <v>0</v>
      </c>
      <c r="N122" s="31">
        <v>2.1000000000000001E-4</v>
      </c>
      <c r="O122" s="31">
        <f>G122*N122</f>
        <v>4.2000000000000002E-4</v>
      </c>
      <c r="P122" s="33" t="s">
        <v>61</v>
      </c>
      <c r="Z122" s="31">
        <f>ROUND(IF(AQ122="5",BJ122,0),2)</f>
        <v>0</v>
      </c>
      <c r="AB122" s="31">
        <f>ROUND(IF(AQ122="1",BH122,0),2)</f>
        <v>0</v>
      </c>
      <c r="AC122" s="31">
        <f>ROUND(IF(AQ122="1",BI122,0),2)</f>
        <v>0</v>
      </c>
      <c r="AD122" s="31">
        <f>ROUND(IF(AQ122="7",BH122,0),2)</f>
        <v>0</v>
      </c>
      <c r="AE122" s="31">
        <f>ROUND(IF(AQ122="7",BI122,0),2)</f>
        <v>0</v>
      </c>
      <c r="AF122" s="31">
        <f>ROUND(IF(AQ122="2",BH122,0),2)</f>
        <v>0</v>
      </c>
      <c r="AG122" s="31">
        <f>ROUND(IF(AQ122="2",BI122,0),2)</f>
        <v>0</v>
      </c>
      <c r="AH122" s="31">
        <f>ROUND(IF(AQ122="0",BJ122,0),2)</f>
        <v>0</v>
      </c>
      <c r="AI122" s="12" t="s">
        <v>54</v>
      </c>
      <c r="AJ122" s="31">
        <f>IF(AN122=0,L122,0)</f>
        <v>0</v>
      </c>
      <c r="AK122" s="31">
        <f>IF(AN122=12,L122,0)</f>
        <v>0</v>
      </c>
      <c r="AL122" s="31">
        <f>IF(AN122=21,L122,0)</f>
        <v>0</v>
      </c>
      <c r="AN122" s="31">
        <v>21</v>
      </c>
      <c r="AO122" s="31">
        <f>H122*0.092332862</f>
        <v>0</v>
      </c>
      <c r="AP122" s="31">
        <f>H122*(1-0.092332862)</f>
        <v>0</v>
      </c>
      <c r="AQ122" s="34" t="s">
        <v>68</v>
      </c>
      <c r="AV122" s="31">
        <f>ROUND(AW122+AX122,2)</f>
        <v>0</v>
      </c>
      <c r="AW122" s="31">
        <f>ROUND(G122*AO122,2)</f>
        <v>0</v>
      </c>
      <c r="AX122" s="31">
        <f>ROUND(G122*AP122,2)</f>
        <v>0</v>
      </c>
      <c r="AY122" s="34" t="s">
        <v>214</v>
      </c>
      <c r="AZ122" s="34" t="s">
        <v>180</v>
      </c>
      <c r="BA122" s="12" t="s">
        <v>64</v>
      </c>
      <c r="BC122" s="31">
        <f>AW122+AX122</f>
        <v>0</v>
      </c>
      <c r="BD122" s="31">
        <f>H122/(100-BE122)*100</f>
        <v>0</v>
      </c>
      <c r="BE122" s="31">
        <v>0</v>
      </c>
      <c r="BF122" s="31">
        <f>O122</f>
        <v>4.2000000000000002E-4</v>
      </c>
      <c r="BH122" s="31">
        <f>G122*AO122</f>
        <v>0</v>
      </c>
      <c r="BI122" s="31">
        <f>G122*AP122</f>
        <v>0</v>
      </c>
      <c r="BJ122" s="31">
        <f>G122*H122</f>
        <v>0</v>
      </c>
      <c r="BK122" s="34" t="s">
        <v>65</v>
      </c>
      <c r="BL122" s="31"/>
      <c r="BW122" s="31">
        <f>I122</f>
        <v>21</v>
      </c>
      <c r="BX122" s="4" t="s">
        <v>230</v>
      </c>
    </row>
    <row r="123" spans="1:76">
      <c r="A123" s="35"/>
      <c r="D123" s="153" t="s">
        <v>231</v>
      </c>
      <c r="E123" s="153" t="s">
        <v>54</v>
      </c>
      <c r="F123" s="154"/>
      <c r="G123" s="155">
        <v>2</v>
      </c>
      <c r="H123" s="154"/>
      <c r="P123" s="38"/>
    </row>
    <row r="124" spans="1:76">
      <c r="A124" s="86">
        <f>A122+1</f>
        <v>47</v>
      </c>
      <c r="B124" s="3" t="s">
        <v>54</v>
      </c>
      <c r="C124" s="3" t="s">
        <v>232</v>
      </c>
      <c r="D124" s="239" t="s">
        <v>233</v>
      </c>
      <c r="E124" s="240"/>
      <c r="F124" s="151" t="s">
        <v>202</v>
      </c>
      <c r="G124" s="152">
        <v>2</v>
      </c>
      <c r="H124" s="152">
        <v>0</v>
      </c>
      <c r="I124" s="32">
        <v>21</v>
      </c>
      <c r="J124" s="31">
        <f>ROUND(G124*AO124,2)</f>
        <v>0</v>
      </c>
      <c r="K124" s="31">
        <f>ROUND(G124*AP124,2)</f>
        <v>0</v>
      </c>
      <c r="L124" s="31">
        <f>ROUND(G124*H124,2)</f>
        <v>0</v>
      </c>
      <c r="M124" s="31">
        <f>L124*(1+BW124/100)</f>
        <v>0</v>
      </c>
      <c r="N124" s="31">
        <v>3.3050000000000003E-2</v>
      </c>
      <c r="O124" s="31">
        <f>G124*N124</f>
        <v>6.6100000000000006E-2</v>
      </c>
      <c r="P124" s="33" t="s">
        <v>61</v>
      </c>
      <c r="Z124" s="31">
        <f>ROUND(IF(AQ124="5",BJ124,0),2)</f>
        <v>0</v>
      </c>
      <c r="AB124" s="31">
        <f>ROUND(IF(AQ124="1",BH124,0),2)</f>
        <v>0</v>
      </c>
      <c r="AC124" s="31">
        <f>ROUND(IF(AQ124="1",BI124,0),2)</f>
        <v>0</v>
      </c>
      <c r="AD124" s="31">
        <f>ROUND(IF(AQ124="7",BH124,0),2)</f>
        <v>0</v>
      </c>
      <c r="AE124" s="31">
        <f>ROUND(IF(AQ124="7",BI124,0),2)</f>
        <v>0</v>
      </c>
      <c r="AF124" s="31">
        <f>ROUND(IF(AQ124="2",BH124,0),2)</f>
        <v>0</v>
      </c>
      <c r="AG124" s="31">
        <f>ROUND(IF(AQ124="2",BI124,0),2)</f>
        <v>0</v>
      </c>
      <c r="AH124" s="31">
        <f>ROUND(IF(AQ124="0",BJ124,0),2)</f>
        <v>0</v>
      </c>
      <c r="AI124" s="12" t="s">
        <v>54</v>
      </c>
      <c r="AJ124" s="31">
        <f>IF(AN124=0,L124,0)</f>
        <v>0</v>
      </c>
      <c r="AK124" s="31">
        <f>IF(AN124=12,L124,0)</f>
        <v>0</v>
      </c>
      <c r="AL124" s="31">
        <f>IF(AN124=21,L124,0)</f>
        <v>0</v>
      </c>
      <c r="AN124" s="31">
        <v>21</v>
      </c>
      <c r="AO124" s="31">
        <f>H124*1</f>
        <v>0</v>
      </c>
      <c r="AP124" s="31">
        <f>H124*(1-1)</f>
        <v>0</v>
      </c>
      <c r="AQ124" s="34" t="s">
        <v>57</v>
      </c>
      <c r="AV124" s="31">
        <f>ROUND(AW124+AX124,2)</f>
        <v>0</v>
      </c>
      <c r="AW124" s="31">
        <f>ROUND(G124*AO124,2)</f>
        <v>0</v>
      </c>
      <c r="AX124" s="31">
        <f>ROUND(G124*AP124,2)</f>
        <v>0</v>
      </c>
      <c r="AY124" s="34" t="s">
        <v>214</v>
      </c>
      <c r="AZ124" s="34" t="s">
        <v>180</v>
      </c>
      <c r="BA124" s="12" t="s">
        <v>64</v>
      </c>
      <c r="BC124" s="31">
        <f>AW124+AX124</f>
        <v>0</v>
      </c>
      <c r="BD124" s="31">
        <f>H124/(100-BE124)*100</f>
        <v>0</v>
      </c>
      <c r="BE124" s="31">
        <v>0</v>
      </c>
      <c r="BF124" s="31">
        <f>O124</f>
        <v>6.6100000000000006E-2</v>
      </c>
      <c r="BH124" s="31">
        <f>G124*AO124</f>
        <v>0</v>
      </c>
      <c r="BI124" s="31">
        <f>G124*AP124</f>
        <v>0</v>
      </c>
      <c r="BJ124" s="31">
        <f>G124*H124</f>
        <v>0</v>
      </c>
      <c r="BK124" s="34" t="s">
        <v>98</v>
      </c>
      <c r="BL124" s="31"/>
      <c r="BW124" s="31">
        <f>I124</f>
        <v>21</v>
      </c>
      <c r="BX124" s="4" t="s">
        <v>233</v>
      </c>
    </row>
    <row r="125" spans="1:76">
      <c r="A125" s="35"/>
      <c r="D125" s="153" t="s">
        <v>234</v>
      </c>
      <c r="E125" s="153" t="s">
        <v>54</v>
      </c>
      <c r="F125" s="154"/>
      <c r="G125" s="155">
        <v>2</v>
      </c>
      <c r="H125" s="154"/>
      <c r="P125" s="38"/>
    </row>
    <row r="126" spans="1:76">
      <c r="A126" s="86">
        <f>A124+1</f>
        <v>48</v>
      </c>
      <c r="B126" s="3" t="s">
        <v>54</v>
      </c>
      <c r="C126" s="3" t="s">
        <v>235</v>
      </c>
      <c r="D126" s="239" t="s">
        <v>236</v>
      </c>
      <c r="E126" s="240"/>
      <c r="F126" s="151" t="s">
        <v>71</v>
      </c>
      <c r="G126" s="152">
        <v>1</v>
      </c>
      <c r="H126" s="152">
        <v>0</v>
      </c>
      <c r="I126" s="32">
        <v>21</v>
      </c>
      <c r="J126" s="31">
        <f>ROUND(G126*AO126,2)</f>
        <v>0</v>
      </c>
      <c r="K126" s="31">
        <f>ROUND(G126*AP126,2)</f>
        <v>0</v>
      </c>
      <c r="L126" s="31">
        <f>ROUND(G126*H126,2)</f>
        <v>0</v>
      </c>
      <c r="M126" s="31">
        <f>L126*(1+BW126/100)</f>
        <v>0</v>
      </c>
      <c r="N126" s="31">
        <v>1.2600000000000001E-3</v>
      </c>
      <c r="O126" s="31">
        <f>G126*N126</f>
        <v>1.2600000000000001E-3</v>
      </c>
      <c r="P126" s="33" t="s">
        <v>61</v>
      </c>
      <c r="Z126" s="31">
        <f>ROUND(IF(AQ126="5",BJ126,0),2)</f>
        <v>0</v>
      </c>
      <c r="AB126" s="31">
        <f>ROUND(IF(AQ126="1",BH126,0),2)</f>
        <v>0</v>
      </c>
      <c r="AC126" s="31">
        <f>ROUND(IF(AQ126="1",BI126,0),2)</f>
        <v>0</v>
      </c>
      <c r="AD126" s="31">
        <f>ROUND(IF(AQ126="7",BH126,0),2)</f>
        <v>0</v>
      </c>
      <c r="AE126" s="31">
        <f>ROUND(IF(AQ126="7",BI126,0),2)</f>
        <v>0</v>
      </c>
      <c r="AF126" s="31">
        <f>ROUND(IF(AQ126="2",BH126,0),2)</f>
        <v>0</v>
      </c>
      <c r="AG126" s="31">
        <f>ROUND(IF(AQ126="2",BI126,0),2)</f>
        <v>0</v>
      </c>
      <c r="AH126" s="31">
        <f>ROUND(IF(AQ126="0",BJ126,0),2)</f>
        <v>0</v>
      </c>
      <c r="AI126" s="12" t="s">
        <v>54</v>
      </c>
      <c r="AJ126" s="31">
        <f>IF(AN126=0,L126,0)</f>
        <v>0</v>
      </c>
      <c r="AK126" s="31">
        <f>IF(AN126=12,L126,0)</f>
        <v>0</v>
      </c>
      <c r="AL126" s="31">
        <f>IF(AN126=21,L126,0)</f>
        <v>0</v>
      </c>
      <c r="AN126" s="31">
        <v>21</v>
      </c>
      <c r="AO126" s="31">
        <f>H126*0.17891201</f>
        <v>0</v>
      </c>
      <c r="AP126" s="31">
        <f>H126*(1-0.17891201)</f>
        <v>0</v>
      </c>
      <c r="AQ126" s="34" t="s">
        <v>68</v>
      </c>
      <c r="AV126" s="31">
        <f>ROUND(AW126+AX126,2)</f>
        <v>0</v>
      </c>
      <c r="AW126" s="31">
        <f>ROUND(G126*AO126,2)</f>
        <v>0</v>
      </c>
      <c r="AX126" s="31">
        <f>ROUND(G126*AP126,2)</f>
        <v>0</v>
      </c>
      <c r="AY126" s="34" t="s">
        <v>214</v>
      </c>
      <c r="AZ126" s="34" t="s">
        <v>180</v>
      </c>
      <c r="BA126" s="12" t="s">
        <v>64</v>
      </c>
      <c r="BC126" s="31">
        <f>AW126+AX126</f>
        <v>0</v>
      </c>
      <c r="BD126" s="31">
        <f>H126/(100-BE126)*100</f>
        <v>0</v>
      </c>
      <c r="BE126" s="31">
        <v>0</v>
      </c>
      <c r="BF126" s="31">
        <f>O126</f>
        <v>1.2600000000000001E-3</v>
      </c>
      <c r="BH126" s="31">
        <f>G126*AO126</f>
        <v>0</v>
      </c>
      <c r="BI126" s="31">
        <f>G126*AP126</f>
        <v>0</v>
      </c>
      <c r="BJ126" s="31">
        <f>G126*H126</f>
        <v>0</v>
      </c>
      <c r="BK126" s="34" t="s">
        <v>65</v>
      </c>
      <c r="BL126" s="31"/>
      <c r="BW126" s="31">
        <f>I126</f>
        <v>21</v>
      </c>
      <c r="BX126" s="4" t="s">
        <v>236</v>
      </c>
    </row>
    <row r="127" spans="1:76">
      <c r="A127" s="35"/>
      <c r="D127" s="153" t="s">
        <v>237</v>
      </c>
      <c r="E127" s="153" t="s">
        <v>54</v>
      </c>
      <c r="F127" s="154"/>
      <c r="G127" s="155">
        <v>1</v>
      </c>
      <c r="H127" s="154"/>
      <c r="P127" s="38"/>
    </row>
    <row r="128" spans="1:76">
      <c r="A128" s="86">
        <f>A126+1</f>
        <v>49</v>
      </c>
      <c r="B128" s="3" t="s">
        <v>54</v>
      </c>
      <c r="C128" s="3" t="s">
        <v>238</v>
      </c>
      <c r="D128" s="239" t="s">
        <v>455</v>
      </c>
      <c r="E128" s="240"/>
      <c r="F128" s="151" t="s">
        <v>71</v>
      </c>
      <c r="G128" s="152">
        <v>1</v>
      </c>
      <c r="H128" s="152">
        <v>0</v>
      </c>
      <c r="I128" s="32">
        <v>21</v>
      </c>
      <c r="J128" s="31">
        <f>ROUND(G128*AO128,2)</f>
        <v>0</v>
      </c>
      <c r="K128" s="31">
        <f>ROUND(G128*AP128,2)</f>
        <v>0</v>
      </c>
      <c r="L128" s="31">
        <f>ROUND(G128*H128,2)</f>
        <v>0</v>
      </c>
      <c r="M128" s="31">
        <f>L128*(1+BW128/100)</f>
        <v>0</v>
      </c>
      <c r="N128" s="31">
        <v>5.3E-3</v>
      </c>
      <c r="O128" s="31">
        <f>G128*N128</f>
        <v>5.3E-3</v>
      </c>
      <c r="P128" s="33" t="s">
        <v>54</v>
      </c>
      <c r="Z128" s="31">
        <f>ROUND(IF(AQ128="5",BJ128,0),2)</f>
        <v>0</v>
      </c>
      <c r="AB128" s="31">
        <f>ROUND(IF(AQ128="1",BH128,0),2)</f>
        <v>0</v>
      </c>
      <c r="AC128" s="31">
        <f>ROUND(IF(AQ128="1",BI128,0),2)</f>
        <v>0</v>
      </c>
      <c r="AD128" s="31">
        <f>ROUND(IF(AQ128="7",BH128,0),2)</f>
        <v>0</v>
      </c>
      <c r="AE128" s="31">
        <f>ROUND(IF(AQ128="7",BI128,0),2)</f>
        <v>0</v>
      </c>
      <c r="AF128" s="31">
        <f>ROUND(IF(AQ128="2",BH128,0),2)</f>
        <v>0</v>
      </c>
      <c r="AG128" s="31">
        <f>ROUND(IF(AQ128="2",BI128,0),2)</f>
        <v>0</v>
      </c>
      <c r="AH128" s="31">
        <f>ROUND(IF(AQ128="0",BJ128,0),2)</f>
        <v>0</v>
      </c>
      <c r="AI128" s="12" t="s">
        <v>54</v>
      </c>
      <c r="AJ128" s="31">
        <f>IF(AN128=0,L128,0)</f>
        <v>0</v>
      </c>
      <c r="AK128" s="31">
        <f>IF(AN128=12,L128,0)</f>
        <v>0</v>
      </c>
      <c r="AL128" s="31">
        <f>IF(AN128=21,L128,0)</f>
        <v>0</v>
      </c>
      <c r="AN128" s="31">
        <v>21</v>
      </c>
      <c r="AO128" s="31">
        <f>H128*1</f>
        <v>0</v>
      </c>
      <c r="AP128" s="31">
        <f>H128*(1-1)</f>
        <v>0</v>
      </c>
      <c r="AQ128" s="34" t="s">
        <v>57</v>
      </c>
      <c r="AV128" s="31">
        <f>ROUND(AW128+AX128,2)</f>
        <v>0</v>
      </c>
      <c r="AW128" s="31">
        <f>ROUND(G128*AO128,2)</f>
        <v>0</v>
      </c>
      <c r="AX128" s="31">
        <f>ROUND(G128*AP128,2)</f>
        <v>0</v>
      </c>
      <c r="AY128" s="34" t="s">
        <v>214</v>
      </c>
      <c r="AZ128" s="34" t="s">
        <v>180</v>
      </c>
      <c r="BA128" s="12" t="s">
        <v>64</v>
      </c>
      <c r="BC128" s="31">
        <f>AW128+AX128</f>
        <v>0</v>
      </c>
      <c r="BD128" s="31">
        <f>H128/(100-BE128)*100</f>
        <v>0</v>
      </c>
      <c r="BE128" s="31">
        <v>0</v>
      </c>
      <c r="BF128" s="31">
        <f>O128</f>
        <v>5.3E-3</v>
      </c>
      <c r="BH128" s="31">
        <f>G128*AO128</f>
        <v>0</v>
      </c>
      <c r="BI128" s="31">
        <f>G128*AP128</f>
        <v>0</v>
      </c>
      <c r="BJ128" s="31">
        <f>G128*H128</f>
        <v>0</v>
      </c>
      <c r="BK128" s="34" t="s">
        <v>98</v>
      </c>
      <c r="BL128" s="31"/>
      <c r="BW128" s="31">
        <f>I128</f>
        <v>21</v>
      </c>
      <c r="BX128" s="4" t="s">
        <v>239</v>
      </c>
    </row>
    <row r="129" spans="1:76">
      <c r="A129" s="35"/>
      <c r="D129" s="153" t="s">
        <v>240</v>
      </c>
      <c r="E129" s="153" t="s">
        <v>54</v>
      </c>
      <c r="F129" s="154"/>
      <c r="G129" s="155">
        <v>1</v>
      </c>
      <c r="H129" s="154"/>
      <c r="P129" s="38"/>
    </row>
    <row r="130" spans="1:76">
      <c r="A130" s="86">
        <f>A128+1</f>
        <v>50</v>
      </c>
      <c r="B130" s="3" t="s">
        <v>54</v>
      </c>
      <c r="C130" s="3" t="s">
        <v>241</v>
      </c>
      <c r="D130" s="239" t="s">
        <v>242</v>
      </c>
      <c r="E130" s="240"/>
      <c r="F130" s="151" t="s">
        <v>71</v>
      </c>
      <c r="G130" s="152">
        <v>1</v>
      </c>
      <c r="H130" s="152">
        <v>0</v>
      </c>
      <c r="I130" s="32">
        <v>21</v>
      </c>
      <c r="J130" s="31">
        <f>ROUND(G130*AO130,2)</f>
        <v>0</v>
      </c>
      <c r="K130" s="31">
        <f>ROUND(G130*AP130,2)</f>
        <v>0</v>
      </c>
      <c r="L130" s="31">
        <f>ROUND(G130*H130,2)</f>
        <v>0</v>
      </c>
      <c r="M130" s="31">
        <f>L130*(1+BW130/100)</f>
        <v>0</v>
      </c>
      <c r="N130" s="31">
        <v>1.56E-3</v>
      </c>
      <c r="O130" s="31">
        <f>G130*N130</f>
        <v>1.56E-3</v>
      </c>
      <c r="P130" s="33" t="s">
        <v>61</v>
      </c>
      <c r="Z130" s="31">
        <f>ROUND(IF(AQ130="5",BJ130,0),2)</f>
        <v>0</v>
      </c>
      <c r="AB130" s="31">
        <f>ROUND(IF(AQ130="1",BH130,0),2)</f>
        <v>0</v>
      </c>
      <c r="AC130" s="31">
        <f>ROUND(IF(AQ130="1",BI130,0),2)</f>
        <v>0</v>
      </c>
      <c r="AD130" s="31">
        <f>ROUND(IF(AQ130="7",BH130,0),2)</f>
        <v>0</v>
      </c>
      <c r="AE130" s="31">
        <f>ROUND(IF(AQ130="7",BI130,0),2)</f>
        <v>0</v>
      </c>
      <c r="AF130" s="31">
        <f>ROUND(IF(AQ130="2",BH130,0),2)</f>
        <v>0</v>
      </c>
      <c r="AG130" s="31">
        <f>ROUND(IF(AQ130="2",BI130,0),2)</f>
        <v>0</v>
      </c>
      <c r="AH130" s="31">
        <f>ROUND(IF(AQ130="0",BJ130,0),2)</f>
        <v>0</v>
      </c>
      <c r="AI130" s="12" t="s">
        <v>54</v>
      </c>
      <c r="AJ130" s="31">
        <f>IF(AN130=0,L130,0)</f>
        <v>0</v>
      </c>
      <c r="AK130" s="31">
        <f>IF(AN130=12,L130,0)</f>
        <v>0</v>
      </c>
      <c r="AL130" s="31">
        <f>IF(AN130=21,L130,0)</f>
        <v>0</v>
      </c>
      <c r="AN130" s="31">
        <v>21</v>
      </c>
      <c r="AO130" s="31">
        <f>H130*0.162366589</f>
        <v>0</v>
      </c>
      <c r="AP130" s="31">
        <f>H130*(1-0.162366589)</f>
        <v>0</v>
      </c>
      <c r="AQ130" s="34" t="s">
        <v>68</v>
      </c>
      <c r="AV130" s="31">
        <f>ROUND(AW130+AX130,2)</f>
        <v>0</v>
      </c>
      <c r="AW130" s="31">
        <f>ROUND(G130*AO130,2)</f>
        <v>0</v>
      </c>
      <c r="AX130" s="31">
        <f>ROUND(G130*AP130,2)</f>
        <v>0</v>
      </c>
      <c r="AY130" s="34" t="s">
        <v>214</v>
      </c>
      <c r="AZ130" s="34" t="s">
        <v>180</v>
      </c>
      <c r="BA130" s="12" t="s">
        <v>64</v>
      </c>
      <c r="BC130" s="31">
        <f>AW130+AX130</f>
        <v>0</v>
      </c>
      <c r="BD130" s="31">
        <f>H130/(100-BE130)*100</f>
        <v>0</v>
      </c>
      <c r="BE130" s="31">
        <v>0</v>
      </c>
      <c r="BF130" s="31">
        <f>O130</f>
        <v>1.56E-3</v>
      </c>
      <c r="BH130" s="31">
        <f>G130*AO130</f>
        <v>0</v>
      </c>
      <c r="BI130" s="31">
        <f>G130*AP130</f>
        <v>0</v>
      </c>
      <c r="BJ130" s="31">
        <f>G130*H130</f>
        <v>0</v>
      </c>
      <c r="BK130" s="34" t="s">
        <v>65</v>
      </c>
      <c r="BL130" s="31"/>
      <c r="BW130" s="31">
        <f>I130</f>
        <v>21</v>
      </c>
      <c r="BX130" s="4" t="s">
        <v>242</v>
      </c>
    </row>
    <row r="131" spans="1:76">
      <c r="A131" s="35"/>
      <c r="D131" s="153" t="s">
        <v>243</v>
      </c>
      <c r="E131" s="153" t="s">
        <v>54</v>
      </c>
      <c r="F131" s="154"/>
      <c r="G131" s="155">
        <v>1</v>
      </c>
      <c r="H131" s="154"/>
      <c r="P131" s="38"/>
    </row>
    <row r="132" spans="1:76">
      <c r="A132" s="86">
        <f>A130+1</f>
        <v>51</v>
      </c>
      <c r="B132" s="3" t="s">
        <v>54</v>
      </c>
      <c r="C132" s="3" t="s">
        <v>244</v>
      </c>
      <c r="D132" s="239" t="s">
        <v>454</v>
      </c>
      <c r="E132" s="240"/>
      <c r="F132" s="151" t="s">
        <v>71</v>
      </c>
      <c r="G132" s="152">
        <v>1</v>
      </c>
      <c r="H132" s="152">
        <v>0</v>
      </c>
      <c r="I132" s="32">
        <v>21</v>
      </c>
      <c r="J132" s="31">
        <f>ROUND(G132*AO132,2)</f>
        <v>0</v>
      </c>
      <c r="K132" s="31">
        <f>ROUND(G132*AP132,2)</f>
        <v>0</v>
      </c>
      <c r="L132" s="31">
        <f>ROUND(G132*H132,2)</f>
        <v>0</v>
      </c>
      <c r="M132" s="31">
        <f>L132*(1+BW132/100)</f>
        <v>0</v>
      </c>
      <c r="N132" s="31">
        <v>1.0999999999999999E-2</v>
      </c>
      <c r="O132" s="31">
        <f>G132*N132</f>
        <v>1.0999999999999999E-2</v>
      </c>
      <c r="P132" s="33" t="s">
        <v>54</v>
      </c>
      <c r="Z132" s="31">
        <f>ROUND(IF(AQ132="5",BJ132,0),2)</f>
        <v>0</v>
      </c>
      <c r="AB132" s="31">
        <f>ROUND(IF(AQ132="1",BH132,0),2)</f>
        <v>0</v>
      </c>
      <c r="AC132" s="31">
        <f>ROUND(IF(AQ132="1",BI132,0),2)</f>
        <v>0</v>
      </c>
      <c r="AD132" s="31">
        <f>ROUND(IF(AQ132="7",BH132,0),2)</f>
        <v>0</v>
      </c>
      <c r="AE132" s="31">
        <f>ROUND(IF(AQ132="7",BI132,0),2)</f>
        <v>0</v>
      </c>
      <c r="AF132" s="31">
        <f>ROUND(IF(AQ132="2",BH132,0),2)</f>
        <v>0</v>
      </c>
      <c r="AG132" s="31">
        <f>ROUND(IF(AQ132="2",BI132,0),2)</f>
        <v>0</v>
      </c>
      <c r="AH132" s="31">
        <f>ROUND(IF(AQ132="0",BJ132,0),2)</f>
        <v>0</v>
      </c>
      <c r="AI132" s="12" t="s">
        <v>54</v>
      </c>
      <c r="AJ132" s="31">
        <f>IF(AN132=0,L132,0)</f>
        <v>0</v>
      </c>
      <c r="AK132" s="31">
        <f>IF(AN132=12,L132,0)</f>
        <v>0</v>
      </c>
      <c r="AL132" s="31">
        <f>IF(AN132=21,L132,0)</f>
        <v>0</v>
      </c>
      <c r="AN132" s="31">
        <v>21</v>
      </c>
      <c r="AO132" s="31">
        <f>H132*1</f>
        <v>0</v>
      </c>
      <c r="AP132" s="31">
        <f>H132*(1-1)</f>
        <v>0</v>
      </c>
      <c r="AQ132" s="34" t="s">
        <v>57</v>
      </c>
      <c r="AV132" s="31">
        <f>ROUND(AW132+AX132,2)</f>
        <v>0</v>
      </c>
      <c r="AW132" s="31">
        <f>ROUND(G132*AO132,2)</f>
        <v>0</v>
      </c>
      <c r="AX132" s="31">
        <f>ROUND(G132*AP132,2)</f>
        <v>0</v>
      </c>
      <c r="AY132" s="34" t="s">
        <v>214</v>
      </c>
      <c r="AZ132" s="34" t="s">
        <v>180</v>
      </c>
      <c r="BA132" s="12" t="s">
        <v>64</v>
      </c>
      <c r="BC132" s="31">
        <f>AW132+AX132</f>
        <v>0</v>
      </c>
      <c r="BD132" s="31">
        <f>H132/(100-BE132)*100</f>
        <v>0</v>
      </c>
      <c r="BE132" s="31">
        <v>0</v>
      </c>
      <c r="BF132" s="31">
        <f>O132</f>
        <v>1.0999999999999999E-2</v>
      </c>
      <c r="BH132" s="31">
        <f>G132*AO132</f>
        <v>0</v>
      </c>
      <c r="BI132" s="31">
        <f>G132*AP132</f>
        <v>0</v>
      </c>
      <c r="BJ132" s="31">
        <f>G132*H132</f>
        <v>0</v>
      </c>
      <c r="BK132" s="34" t="s">
        <v>98</v>
      </c>
      <c r="BL132" s="31"/>
      <c r="BW132" s="31">
        <f>I132</f>
        <v>21</v>
      </c>
      <c r="BX132" s="4" t="s">
        <v>245</v>
      </c>
    </row>
    <row r="133" spans="1:76">
      <c r="A133" s="35"/>
      <c r="D133" s="153" t="s">
        <v>246</v>
      </c>
      <c r="E133" s="153" t="s">
        <v>54</v>
      </c>
      <c r="F133" s="154"/>
      <c r="G133" s="155">
        <v>1</v>
      </c>
      <c r="H133" s="154"/>
      <c r="P133" s="38"/>
    </row>
    <row r="134" spans="1:76">
      <c r="A134" s="86">
        <f>A132+1</f>
        <v>52</v>
      </c>
      <c r="B134" s="3" t="s">
        <v>54</v>
      </c>
      <c r="C134" s="3" t="s">
        <v>247</v>
      </c>
      <c r="D134" s="239" t="s">
        <v>248</v>
      </c>
      <c r="E134" s="240"/>
      <c r="F134" s="151" t="s">
        <v>71</v>
      </c>
      <c r="G134" s="152">
        <v>20</v>
      </c>
      <c r="H134" s="152">
        <v>0</v>
      </c>
      <c r="I134" s="32">
        <v>21</v>
      </c>
      <c r="J134" s="31">
        <f>ROUND(G134*AO134,2)</f>
        <v>0</v>
      </c>
      <c r="K134" s="31">
        <f>ROUND(G134*AP134,2)</f>
        <v>0</v>
      </c>
      <c r="L134" s="31">
        <f>ROUND(G134*H134,2)</f>
        <v>0</v>
      </c>
      <c r="M134" s="31">
        <f>L134*(1+BW134/100)</f>
        <v>0</v>
      </c>
      <c r="N134" s="31">
        <v>0</v>
      </c>
      <c r="O134" s="31">
        <f>G134*N134</f>
        <v>0</v>
      </c>
      <c r="P134" s="33" t="s">
        <v>61</v>
      </c>
      <c r="Z134" s="31">
        <f>ROUND(IF(AQ134="5",BJ134,0),2)</f>
        <v>0</v>
      </c>
      <c r="AB134" s="31">
        <f>ROUND(IF(AQ134="1",BH134,0),2)</f>
        <v>0</v>
      </c>
      <c r="AC134" s="31">
        <f>ROUND(IF(AQ134="1",BI134,0),2)</f>
        <v>0</v>
      </c>
      <c r="AD134" s="31">
        <f>ROUND(IF(AQ134="7",BH134,0),2)</f>
        <v>0</v>
      </c>
      <c r="AE134" s="31">
        <f>ROUND(IF(AQ134="7",BI134,0),2)</f>
        <v>0</v>
      </c>
      <c r="AF134" s="31">
        <f>ROUND(IF(AQ134="2",BH134,0),2)</f>
        <v>0</v>
      </c>
      <c r="AG134" s="31">
        <f>ROUND(IF(AQ134="2",BI134,0),2)</f>
        <v>0</v>
      </c>
      <c r="AH134" s="31">
        <f>ROUND(IF(AQ134="0",BJ134,0),2)</f>
        <v>0</v>
      </c>
      <c r="AI134" s="12" t="s">
        <v>54</v>
      </c>
      <c r="AJ134" s="31">
        <f>IF(AN134=0,L134,0)</f>
        <v>0</v>
      </c>
      <c r="AK134" s="31">
        <f>IF(AN134=12,L134,0)</f>
        <v>0</v>
      </c>
      <c r="AL134" s="31">
        <f>IF(AN134=21,L134,0)</f>
        <v>0</v>
      </c>
      <c r="AN134" s="31">
        <v>21</v>
      </c>
      <c r="AO134" s="31">
        <f>H134*0</f>
        <v>0</v>
      </c>
      <c r="AP134" s="31">
        <f>H134*(1-0)</f>
        <v>0</v>
      </c>
      <c r="AQ134" s="34" t="s">
        <v>68</v>
      </c>
      <c r="AV134" s="31">
        <f>ROUND(AW134+AX134,2)</f>
        <v>0</v>
      </c>
      <c r="AW134" s="31">
        <f>ROUND(G134*AO134,2)</f>
        <v>0</v>
      </c>
      <c r="AX134" s="31">
        <f>ROUND(G134*AP134,2)</f>
        <v>0</v>
      </c>
      <c r="AY134" s="34" t="s">
        <v>214</v>
      </c>
      <c r="AZ134" s="34" t="s">
        <v>180</v>
      </c>
      <c r="BA134" s="12" t="s">
        <v>64</v>
      </c>
      <c r="BC134" s="31">
        <f>AW134+AX134</f>
        <v>0</v>
      </c>
      <c r="BD134" s="31">
        <f>H134/(100-BE134)*100</f>
        <v>0</v>
      </c>
      <c r="BE134" s="31">
        <v>0</v>
      </c>
      <c r="BF134" s="31">
        <f>O134</f>
        <v>0</v>
      </c>
      <c r="BH134" s="31">
        <f>G134*AO134</f>
        <v>0</v>
      </c>
      <c r="BI134" s="31">
        <f>G134*AP134</f>
        <v>0</v>
      </c>
      <c r="BJ134" s="31">
        <f>G134*H134</f>
        <v>0</v>
      </c>
      <c r="BK134" s="34" t="s">
        <v>65</v>
      </c>
      <c r="BL134" s="31"/>
      <c r="BW134" s="31">
        <f>I134</f>
        <v>21</v>
      </c>
      <c r="BX134" s="4" t="s">
        <v>248</v>
      </c>
    </row>
    <row r="135" spans="1:76">
      <c r="A135" s="35"/>
      <c r="D135" s="153" t="s">
        <v>249</v>
      </c>
      <c r="E135" s="153" t="s">
        <v>54</v>
      </c>
      <c r="F135" s="154"/>
      <c r="G135" s="155">
        <v>2</v>
      </c>
      <c r="H135" s="154"/>
      <c r="P135" s="38"/>
    </row>
    <row r="136" spans="1:76">
      <c r="A136" s="35"/>
      <c r="D136" s="153" t="s">
        <v>467</v>
      </c>
      <c r="E136" s="153" t="s">
        <v>54</v>
      </c>
      <c r="F136" s="154"/>
      <c r="G136" s="155">
        <v>2</v>
      </c>
      <c r="H136" s="154"/>
      <c r="P136" s="38"/>
    </row>
    <row r="137" spans="1:76">
      <c r="A137" s="35"/>
      <c r="D137" s="153" t="s">
        <v>250</v>
      </c>
      <c r="E137" s="153" t="s">
        <v>54</v>
      </c>
      <c r="F137" s="154"/>
      <c r="G137" s="155">
        <v>2</v>
      </c>
      <c r="H137" s="154"/>
      <c r="P137" s="38"/>
    </row>
    <row r="138" spans="1:76">
      <c r="A138" s="35"/>
      <c r="D138" s="153" t="s">
        <v>251</v>
      </c>
      <c r="E138" s="153" t="s">
        <v>54</v>
      </c>
      <c r="F138" s="154"/>
      <c r="G138" s="155">
        <v>4</v>
      </c>
      <c r="H138" s="154"/>
      <c r="P138" s="38"/>
    </row>
    <row r="139" spans="1:76">
      <c r="A139" s="35"/>
      <c r="D139" s="153" t="s">
        <v>252</v>
      </c>
      <c r="E139" s="153" t="s">
        <v>54</v>
      </c>
      <c r="F139" s="154"/>
      <c r="G139" s="155">
        <v>2</v>
      </c>
      <c r="H139" s="154"/>
      <c r="P139" s="38"/>
    </row>
    <row r="140" spans="1:76">
      <c r="A140" s="35"/>
      <c r="D140" s="153" t="s">
        <v>253</v>
      </c>
      <c r="E140" s="153" t="s">
        <v>54</v>
      </c>
      <c r="F140" s="154"/>
      <c r="G140" s="155">
        <v>8</v>
      </c>
      <c r="H140" s="154"/>
      <c r="P140" s="38"/>
    </row>
    <row r="141" spans="1:76">
      <c r="A141" s="2">
        <f>A134+1</f>
        <v>53</v>
      </c>
      <c r="B141" s="3" t="s">
        <v>54</v>
      </c>
      <c r="C141" s="3" t="s">
        <v>254</v>
      </c>
      <c r="D141" s="239" t="s">
        <v>255</v>
      </c>
      <c r="E141" s="240"/>
      <c r="F141" s="151" t="s">
        <v>71</v>
      </c>
      <c r="G141" s="152">
        <v>2</v>
      </c>
      <c r="H141" s="152">
        <v>0</v>
      </c>
      <c r="I141" s="32">
        <v>21</v>
      </c>
      <c r="J141" s="31">
        <f>ROUND(G141*AO141,2)</f>
        <v>0</v>
      </c>
      <c r="K141" s="31">
        <f>ROUND(G141*AP141,2)</f>
        <v>0</v>
      </c>
      <c r="L141" s="31">
        <f>ROUND(G141*H141,2)</f>
        <v>0</v>
      </c>
      <c r="M141" s="31">
        <f>L141*(1+BW141/100)</f>
        <v>0</v>
      </c>
      <c r="N141" s="31">
        <v>1.5E-3</v>
      </c>
      <c r="O141" s="31">
        <f>G141*N141</f>
        <v>3.0000000000000001E-3</v>
      </c>
      <c r="P141" s="33" t="s">
        <v>54</v>
      </c>
      <c r="Z141" s="31">
        <f>ROUND(IF(AQ141="5",BJ141,0),2)</f>
        <v>0</v>
      </c>
      <c r="AB141" s="31">
        <f>ROUND(IF(AQ141="1",BH141,0),2)</f>
        <v>0</v>
      </c>
      <c r="AC141" s="31">
        <f>ROUND(IF(AQ141="1",BI141,0),2)</f>
        <v>0</v>
      </c>
      <c r="AD141" s="31">
        <f>ROUND(IF(AQ141="7",BH141,0),2)</f>
        <v>0</v>
      </c>
      <c r="AE141" s="31">
        <f>ROUND(IF(AQ141="7",BI141,0),2)</f>
        <v>0</v>
      </c>
      <c r="AF141" s="31">
        <f>ROUND(IF(AQ141="2",BH141,0),2)</f>
        <v>0</v>
      </c>
      <c r="AG141" s="31">
        <f>ROUND(IF(AQ141="2",BI141,0),2)</f>
        <v>0</v>
      </c>
      <c r="AH141" s="31">
        <f>ROUND(IF(AQ141="0",BJ141,0),2)</f>
        <v>0</v>
      </c>
      <c r="AI141" s="12" t="s">
        <v>54</v>
      </c>
      <c r="AJ141" s="31">
        <f>IF(AN141=0,L141,0)</f>
        <v>0</v>
      </c>
      <c r="AK141" s="31">
        <f>IF(AN141=12,L141,0)</f>
        <v>0</v>
      </c>
      <c r="AL141" s="31">
        <f>IF(AN141=21,L141,0)</f>
        <v>0</v>
      </c>
      <c r="AN141" s="31">
        <v>21</v>
      </c>
      <c r="AO141" s="31">
        <f>H141*1</f>
        <v>0</v>
      </c>
      <c r="AP141" s="31">
        <f>H141*(1-1)</f>
        <v>0</v>
      </c>
      <c r="AQ141" s="34" t="s">
        <v>57</v>
      </c>
      <c r="AV141" s="31">
        <f>ROUND(AW141+AX141,2)</f>
        <v>0</v>
      </c>
      <c r="AW141" s="31">
        <f>ROUND(G141*AO141,2)</f>
        <v>0</v>
      </c>
      <c r="AX141" s="31">
        <f>ROUND(G141*AP141,2)</f>
        <v>0</v>
      </c>
      <c r="AY141" s="34" t="s">
        <v>214</v>
      </c>
      <c r="AZ141" s="34" t="s">
        <v>180</v>
      </c>
      <c r="BA141" s="12" t="s">
        <v>64</v>
      </c>
      <c r="BC141" s="31">
        <f>AW141+AX141</f>
        <v>0</v>
      </c>
      <c r="BD141" s="31">
        <f>H141/(100-BE141)*100</f>
        <v>0</v>
      </c>
      <c r="BE141" s="31">
        <v>0</v>
      </c>
      <c r="BF141" s="31">
        <f>O141</f>
        <v>3.0000000000000001E-3</v>
      </c>
      <c r="BH141" s="31">
        <f>G141*AO141</f>
        <v>0</v>
      </c>
      <c r="BI141" s="31">
        <f>G141*AP141</f>
        <v>0</v>
      </c>
      <c r="BJ141" s="31">
        <f>G141*H141</f>
        <v>0</v>
      </c>
      <c r="BK141" s="34" t="s">
        <v>98</v>
      </c>
      <c r="BL141" s="31"/>
      <c r="BW141" s="31">
        <f>I141</f>
        <v>21</v>
      </c>
      <c r="BX141" s="4" t="s">
        <v>255</v>
      </c>
    </row>
    <row r="142" spans="1:76">
      <c r="A142" s="35"/>
      <c r="D142" s="153" t="s">
        <v>256</v>
      </c>
      <c r="E142" s="153" t="s">
        <v>54</v>
      </c>
      <c r="F142" s="154"/>
      <c r="G142" s="155">
        <v>2</v>
      </c>
      <c r="H142" s="154"/>
      <c r="P142" s="38"/>
    </row>
    <row r="143" spans="1:76">
      <c r="A143" s="86">
        <f>A141+1</f>
        <v>54</v>
      </c>
      <c r="B143" s="87" t="s">
        <v>54</v>
      </c>
      <c r="C143" s="135" t="s">
        <v>465</v>
      </c>
      <c r="D143" s="239" t="s">
        <v>466</v>
      </c>
      <c r="E143" s="240"/>
      <c r="F143" s="151" t="s">
        <v>71</v>
      </c>
      <c r="G143" s="152">
        <v>2</v>
      </c>
      <c r="H143" s="152">
        <v>0</v>
      </c>
      <c r="I143" s="32">
        <v>21</v>
      </c>
      <c r="J143" s="31">
        <f>ROUND(G143*AO143,2)</f>
        <v>0</v>
      </c>
      <c r="K143" s="31">
        <f>ROUND(G143*AP143,2)</f>
        <v>0</v>
      </c>
      <c r="L143" s="31">
        <f>ROUND(G143*H143,2)</f>
        <v>0</v>
      </c>
      <c r="M143" s="31">
        <f>L143*(1+BW143/100)</f>
        <v>0</v>
      </c>
      <c r="N143" s="31">
        <v>1.5E-3</v>
      </c>
      <c r="O143" s="31">
        <f>G143*N143</f>
        <v>3.0000000000000001E-3</v>
      </c>
      <c r="P143" s="33" t="s">
        <v>54</v>
      </c>
      <c r="Z143" s="31">
        <f>ROUND(IF(AQ143="5",BJ143,0),2)</f>
        <v>0</v>
      </c>
      <c r="AB143" s="31">
        <f>ROUND(IF(AQ143="1",BH143,0),2)</f>
        <v>0</v>
      </c>
      <c r="AC143" s="31">
        <f>ROUND(IF(AQ143="1",BI143,0),2)</f>
        <v>0</v>
      </c>
      <c r="AD143" s="31">
        <f>ROUND(IF(AQ143="7",BH143,0),2)</f>
        <v>0</v>
      </c>
      <c r="AE143" s="31">
        <f>ROUND(IF(AQ143="7",BI143,0),2)</f>
        <v>0</v>
      </c>
      <c r="AF143" s="31">
        <f>ROUND(IF(AQ143="2",BH143,0),2)</f>
        <v>0</v>
      </c>
      <c r="AG143" s="31">
        <f>ROUND(IF(AQ143="2",BI143,0),2)</f>
        <v>0</v>
      </c>
      <c r="AH143" s="31">
        <f>ROUND(IF(AQ143="0",BJ143,0),2)</f>
        <v>0</v>
      </c>
      <c r="AI143" s="12" t="s">
        <v>54</v>
      </c>
      <c r="AJ143" s="31">
        <f>IF(AN143=0,L143,0)</f>
        <v>0</v>
      </c>
      <c r="AK143" s="31">
        <f>IF(AN143=12,L143,0)</f>
        <v>0</v>
      </c>
      <c r="AL143" s="31">
        <f>IF(AN143=21,L143,0)</f>
        <v>0</v>
      </c>
      <c r="AN143" s="31">
        <v>21</v>
      </c>
      <c r="AO143" s="31">
        <f>H143*1</f>
        <v>0</v>
      </c>
      <c r="AP143" s="31">
        <f>H143*(1-1)</f>
        <v>0</v>
      </c>
      <c r="AQ143" s="34" t="s">
        <v>57</v>
      </c>
      <c r="AV143" s="31">
        <f>ROUND(AW143+AX143,2)</f>
        <v>0</v>
      </c>
      <c r="AW143" s="31">
        <f>ROUND(G143*AO143,2)</f>
        <v>0</v>
      </c>
      <c r="AX143" s="31">
        <f>ROUND(G143*AP143,2)</f>
        <v>0</v>
      </c>
      <c r="AY143" s="34" t="s">
        <v>214</v>
      </c>
      <c r="AZ143" s="34" t="s">
        <v>180</v>
      </c>
      <c r="BA143" s="12" t="s">
        <v>64</v>
      </c>
      <c r="BC143" s="31">
        <f>AW143+AX143</f>
        <v>0</v>
      </c>
      <c r="BD143" s="31">
        <f>H143/(100-BE143)*100</f>
        <v>0</v>
      </c>
      <c r="BE143" s="31">
        <v>0</v>
      </c>
      <c r="BF143" s="31">
        <f>O143</f>
        <v>3.0000000000000001E-3</v>
      </c>
      <c r="BH143" s="31">
        <f>G143*AO143</f>
        <v>0</v>
      </c>
      <c r="BI143" s="31">
        <f>G143*AP143</f>
        <v>0</v>
      </c>
      <c r="BJ143" s="31">
        <f>G143*H143</f>
        <v>0</v>
      </c>
      <c r="BK143" s="34" t="s">
        <v>98</v>
      </c>
      <c r="BL143" s="31"/>
      <c r="BW143" s="31">
        <f>I143</f>
        <v>21</v>
      </c>
      <c r="BX143" s="88" t="s">
        <v>255</v>
      </c>
    </row>
    <row r="144" spans="1:76">
      <c r="A144" s="86">
        <f>A143+1</f>
        <v>55</v>
      </c>
      <c r="B144" s="3" t="s">
        <v>54</v>
      </c>
      <c r="C144" s="3" t="s">
        <v>257</v>
      </c>
      <c r="D144" s="239" t="s">
        <v>258</v>
      </c>
      <c r="E144" s="240"/>
      <c r="F144" s="151" t="s">
        <v>71</v>
      </c>
      <c r="G144" s="152">
        <v>2</v>
      </c>
      <c r="H144" s="152">
        <v>0</v>
      </c>
      <c r="I144" s="32">
        <v>21</v>
      </c>
      <c r="J144" s="31">
        <f>ROUND(G144*AO144,2)</f>
        <v>0</v>
      </c>
      <c r="K144" s="31">
        <f>ROUND(G144*AP144,2)</f>
        <v>0</v>
      </c>
      <c r="L144" s="31">
        <f>ROUND(G144*H144,2)</f>
        <v>0</v>
      </c>
      <c r="M144" s="31">
        <f>L144*(1+BW144/100)</f>
        <v>0</v>
      </c>
      <c r="N144" s="31">
        <v>1.6000000000000001E-3</v>
      </c>
      <c r="O144" s="31">
        <f>G144*N144</f>
        <v>3.2000000000000002E-3</v>
      </c>
      <c r="P144" s="33" t="s">
        <v>54</v>
      </c>
      <c r="Z144" s="31">
        <f>ROUND(IF(AQ144="5",BJ144,0),2)</f>
        <v>0</v>
      </c>
      <c r="AB144" s="31">
        <f>ROUND(IF(AQ144="1",BH144,0),2)</f>
        <v>0</v>
      </c>
      <c r="AC144" s="31">
        <f>ROUND(IF(AQ144="1",BI144,0),2)</f>
        <v>0</v>
      </c>
      <c r="AD144" s="31">
        <f>ROUND(IF(AQ144="7",BH144,0),2)</f>
        <v>0</v>
      </c>
      <c r="AE144" s="31">
        <f>ROUND(IF(AQ144="7",BI144,0),2)</f>
        <v>0</v>
      </c>
      <c r="AF144" s="31">
        <f>ROUND(IF(AQ144="2",BH144,0),2)</f>
        <v>0</v>
      </c>
      <c r="AG144" s="31">
        <f>ROUND(IF(AQ144="2",BI144,0),2)</f>
        <v>0</v>
      </c>
      <c r="AH144" s="31">
        <f>ROUND(IF(AQ144="0",BJ144,0),2)</f>
        <v>0</v>
      </c>
      <c r="AI144" s="12" t="s">
        <v>54</v>
      </c>
      <c r="AJ144" s="31">
        <f>IF(AN144=0,L144,0)</f>
        <v>0</v>
      </c>
      <c r="AK144" s="31">
        <f>IF(AN144=12,L144,0)</f>
        <v>0</v>
      </c>
      <c r="AL144" s="31">
        <f>IF(AN144=21,L144,0)</f>
        <v>0</v>
      </c>
      <c r="AN144" s="31">
        <v>21</v>
      </c>
      <c r="AO144" s="31">
        <f>H144*1</f>
        <v>0</v>
      </c>
      <c r="AP144" s="31">
        <f>H144*(1-1)</f>
        <v>0</v>
      </c>
      <c r="AQ144" s="34" t="s">
        <v>57</v>
      </c>
      <c r="AV144" s="31">
        <f>ROUND(AW144+AX144,2)</f>
        <v>0</v>
      </c>
      <c r="AW144" s="31">
        <f>ROUND(G144*AO144,2)</f>
        <v>0</v>
      </c>
      <c r="AX144" s="31">
        <f>ROUND(G144*AP144,2)</f>
        <v>0</v>
      </c>
      <c r="AY144" s="34" t="s">
        <v>214</v>
      </c>
      <c r="AZ144" s="34" t="s">
        <v>180</v>
      </c>
      <c r="BA144" s="12" t="s">
        <v>64</v>
      </c>
      <c r="BC144" s="31">
        <f>AW144+AX144</f>
        <v>0</v>
      </c>
      <c r="BD144" s="31">
        <f>H144/(100-BE144)*100</f>
        <v>0</v>
      </c>
      <c r="BE144" s="31">
        <v>0</v>
      </c>
      <c r="BF144" s="31">
        <f>O144</f>
        <v>3.2000000000000002E-3</v>
      </c>
      <c r="BH144" s="31">
        <f>G144*AO144</f>
        <v>0</v>
      </c>
      <c r="BI144" s="31">
        <f>G144*AP144</f>
        <v>0</v>
      </c>
      <c r="BJ144" s="31">
        <f>G144*H144</f>
        <v>0</v>
      </c>
      <c r="BK144" s="34" t="s">
        <v>98</v>
      </c>
      <c r="BL144" s="31"/>
      <c r="BW144" s="31">
        <f>I144</f>
        <v>21</v>
      </c>
      <c r="BX144" s="4" t="s">
        <v>258</v>
      </c>
    </row>
    <row r="145" spans="1:76">
      <c r="A145" s="35"/>
      <c r="D145" s="153" t="s">
        <v>259</v>
      </c>
      <c r="E145" s="153" t="s">
        <v>54</v>
      </c>
      <c r="F145" s="154"/>
      <c r="G145" s="155">
        <v>2</v>
      </c>
      <c r="H145" s="154"/>
      <c r="P145" s="38"/>
    </row>
    <row r="146" spans="1:76">
      <c r="A146" s="86">
        <f>A144+1</f>
        <v>56</v>
      </c>
      <c r="B146" s="3" t="s">
        <v>54</v>
      </c>
      <c r="C146" s="3" t="s">
        <v>260</v>
      </c>
      <c r="D146" s="239" t="s">
        <v>261</v>
      </c>
      <c r="E146" s="240"/>
      <c r="F146" s="151" t="s">
        <v>71</v>
      </c>
      <c r="G146" s="152">
        <v>4</v>
      </c>
      <c r="H146" s="152">
        <v>0</v>
      </c>
      <c r="I146" s="32">
        <v>21</v>
      </c>
      <c r="J146" s="31">
        <f>ROUND(G146*AO146,2)</f>
        <v>0</v>
      </c>
      <c r="K146" s="31">
        <f>ROUND(G146*AP146,2)</f>
        <v>0</v>
      </c>
      <c r="L146" s="31">
        <f>ROUND(G146*H146,2)</f>
        <v>0</v>
      </c>
      <c r="M146" s="31">
        <f>L146*(1+BW146/100)</f>
        <v>0</v>
      </c>
      <c r="N146" s="31">
        <v>1.2199999999999999E-3</v>
      </c>
      <c r="O146" s="31">
        <f>G146*N146</f>
        <v>4.8799999999999998E-3</v>
      </c>
      <c r="P146" s="33" t="s">
        <v>158</v>
      </c>
      <c r="Z146" s="31">
        <f>ROUND(IF(AQ146="5",BJ146,0),2)</f>
        <v>0</v>
      </c>
      <c r="AB146" s="31">
        <f>ROUND(IF(AQ146="1",BH146,0),2)</f>
        <v>0</v>
      </c>
      <c r="AC146" s="31">
        <f>ROUND(IF(AQ146="1",BI146,0),2)</f>
        <v>0</v>
      </c>
      <c r="AD146" s="31">
        <f>ROUND(IF(AQ146="7",BH146,0),2)</f>
        <v>0</v>
      </c>
      <c r="AE146" s="31">
        <f>ROUND(IF(AQ146="7",BI146,0),2)</f>
        <v>0</v>
      </c>
      <c r="AF146" s="31">
        <f>ROUND(IF(AQ146="2",BH146,0),2)</f>
        <v>0</v>
      </c>
      <c r="AG146" s="31">
        <f>ROUND(IF(AQ146="2",BI146,0),2)</f>
        <v>0</v>
      </c>
      <c r="AH146" s="31">
        <f>ROUND(IF(AQ146="0",BJ146,0),2)</f>
        <v>0</v>
      </c>
      <c r="AI146" s="12" t="s">
        <v>54</v>
      </c>
      <c r="AJ146" s="31">
        <f>IF(AN146=0,L146,0)</f>
        <v>0</v>
      </c>
      <c r="AK146" s="31">
        <f>IF(AN146=12,L146,0)</f>
        <v>0</v>
      </c>
      <c r="AL146" s="31">
        <f>IF(AN146=21,L146,0)</f>
        <v>0</v>
      </c>
      <c r="AN146" s="31">
        <v>21</v>
      </c>
      <c r="AO146" s="31">
        <f>H146*1</f>
        <v>0</v>
      </c>
      <c r="AP146" s="31">
        <f>H146*(1-1)</f>
        <v>0</v>
      </c>
      <c r="AQ146" s="34" t="s">
        <v>57</v>
      </c>
      <c r="AV146" s="31">
        <f>ROUND(AW146+AX146,2)</f>
        <v>0</v>
      </c>
      <c r="AW146" s="31">
        <f>ROUND(G146*AO146,2)</f>
        <v>0</v>
      </c>
      <c r="AX146" s="31">
        <f>ROUND(G146*AP146,2)</f>
        <v>0</v>
      </c>
      <c r="AY146" s="34" t="s">
        <v>214</v>
      </c>
      <c r="AZ146" s="34" t="s">
        <v>180</v>
      </c>
      <c r="BA146" s="12" t="s">
        <v>64</v>
      </c>
      <c r="BC146" s="31">
        <f>AW146+AX146</f>
        <v>0</v>
      </c>
      <c r="BD146" s="31">
        <f>H146/(100-BE146)*100</f>
        <v>0</v>
      </c>
      <c r="BE146" s="31">
        <v>0</v>
      </c>
      <c r="BF146" s="31">
        <f>O146</f>
        <v>4.8799999999999998E-3</v>
      </c>
      <c r="BH146" s="31">
        <f>G146*AO146</f>
        <v>0</v>
      </c>
      <c r="BI146" s="31">
        <f>G146*AP146</f>
        <v>0</v>
      </c>
      <c r="BJ146" s="31">
        <f>G146*H146</f>
        <v>0</v>
      </c>
      <c r="BK146" s="34" t="s">
        <v>98</v>
      </c>
      <c r="BL146" s="31"/>
      <c r="BW146" s="31">
        <f>I146</f>
        <v>21</v>
      </c>
      <c r="BX146" s="4" t="s">
        <v>261</v>
      </c>
    </row>
    <row r="147" spans="1:76">
      <c r="A147" s="35"/>
      <c r="D147" s="153" t="s">
        <v>262</v>
      </c>
      <c r="E147" s="153" t="s">
        <v>54</v>
      </c>
      <c r="F147" s="154"/>
      <c r="G147" s="155">
        <v>4</v>
      </c>
      <c r="H147" s="154"/>
      <c r="P147" s="38"/>
    </row>
    <row r="148" spans="1:76">
      <c r="A148" s="86">
        <f>A146+1</f>
        <v>57</v>
      </c>
      <c r="B148" s="3" t="s">
        <v>54</v>
      </c>
      <c r="C148" s="3" t="s">
        <v>263</v>
      </c>
      <c r="D148" s="239" t="s">
        <v>264</v>
      </c>
      <c r="E148" s="240"/>
      <c r="F148" s="151" t="s">
        <v>71</v>
      </c>
      <c r="G148" s="152">
        <v>2</v>
      </c>
      <c r="H148" s="152">
        <v>0</v>
      </c>
      <c r="I148" s="32">
        <v>21</v>
      </c>
      <c r="J148" s="31">
        <f>ROUND(G148*AO148,2)</f>
        <v>0</v>
      </c>
      <c r="K148" s="31">
        <f>ROUND(G148*AP148,2)</f>
        <v>0</v>
      </c>
      <c r="L148" s="31">
        <f>ROUND(G148*H148,2)</f>
        <v>0</v>
      </c>
      <c r="M148" s="31">
        <f>L148*(1+BW148/100)</f>
        <v>0</v>
      </c>
      <c r="N148" s="31">
        <v>6.5300000000000002E-3</v>
      </c>
      <c r="O148" s="31">
        <f>G148*N148</f>
        <v>1.306E-2</v>
      </c>
      <c r="P148" s="33" t="s">
        <v>155</v>
      </c>
      <c r="Z148" s="31">
        <f>ROUND(IF(AQ148="5",BJ148,0),2)</f>
        <v>0</v>
      </c>
      <c r="AB148" s="31">
        <f>ROUND(IF(AQ148="1",BH148,0),2)</f>
        <v>0</v>
      </c>
      <c r="AC148" s="31">
        <f>ROUND(IF(AQ148="1",BI148,0),2)</f>
        <v>0</v>
      </c>
      <c r="AD148" s="31">
        <f>ROUND(IF(AQ148="7",BH148,0),2)</f>
        <v>0</v>
      </c>
      <c r="AE148" s="31">
        <f>ROUND(IF(AQ148="7",BI148,0),2)</f>
        <v>0</v>
      </c>
      <c r="AF148" s="31">
        <f>ROUND(IF(AQ148="2",BH148,0),2)</f>
        <v>0</v>
      </c>
      <c r="AG148" s="31">
        <f>ROUND(IF(AQ148="2",BI148,0),2)</f>
        <v>0</v>
      </c>
      <c r="AH148" s="31">
        <f>ROUND(IF(AQ148="0",BJ148,0),2)</f>
        <v>0</v>
      </c>
      <c r="AI148" s="12" t="s">
        <v>54</v>
      </c>
      <c r="AJ148" s="31">
        <f>IF(AN148=0,L148,0)</f>
        <v>0</v>
      </c>
      <c r="AK148" s="31">
        <f>IF(AN148=12,L148,0)</f>
        <v>0</v>
      </c>
      <c r="AL148" s="31">
        <f>IF(AN148=21,L148,0)</f>
        <v>0</v>
      </c>
      <c r="AN148" s="31">
        <v>21</v>
      </c>
      <c r="AO148" s="31">
        <f>H148*1</f>
        <v>0</v>
      </c>
      <c r="AP148" s="31">
        <f>H148*(1-1)</f>
        <v>0</v>
      </c>
      <c r="AQ148" s="34" t="s">
        <v>57</v>
      </c>
      <c r="AV148" s="31">
        <f>ROUND(AW148+AX148,2)</f>
        <v>0</v>
      </c>
      <c r="AW148" s="31">
        <f>ROUND(G148*AO148,2)</f>
        <v>0</v>
      </c>
      <c r="AX148" s="31">
        <f>ROUND(G148*AP148,2)</f>
        <v>0</v>
      </c>
      <c r="AY148" s="34" t="s">
        <v>214</v>
      </c>
      <c r="AZ148" s="34" t="s">
        <v>180</v>
      </c>
      <c r="BA148" s="12" t="s">
        <v>64</v>
      </c>
      <c r="BC148" s="31">
        <f>AW148+AX148</f>
        <v>0</v>
      </c>
      <c r="BD148" s="31">
        <f>H148/(100-BE148)*100</f>
        <v>0</v>
      </c>
      <c r="BE148" s="31">
        <v>0</v>
      </c>
      <c r="BF148" s="31">
        <f>O148</f>
        <v>1.306E-2</v>
      </c>
      <c r="BH148" s="31">
        <f>G148*AO148</f>
        <v>0</v>
      </c>
      <c r="BI148" s="31">
        <f>G148*AP148</f>
        <v>0</v>
      </c>
      <c r="BJ148" s="31">
        <f>G148*H148</f>
        <v>0</v>
      </c>
      <c r="BK148" s="34" t="s">
        <v>98</v>
      </c>
      <c r="BL148" s="31"/>
      <c r="BW148" s="31">
        <f>I148</f>
        <v>21</v>
      </c>
      <c r="BX148" s="4" t="s">
        <v>264</v>
      </c>
    </row>
    <row r="149" spans="1:76">
      <c r="A149" s="35"/>
      <c r="D149" s="153" t="s">
        <v>265</v>
      </c>
      <c r="E149" s="153" t="s">
        <v>54</v>
      </c>
      <c r="F149" s="154"/>
      <c r="G149" s="155">
        <v>2</v>
      </c>
      <c r="H149" s="154"/>
      <c r="P149" s="38"/>
    </row>
    <row r="150" spans="1:76">
      <c r="A150" s="86">
        <f>A148+1</f>
        <v>58</v>
      </c>
      <c r="B150" s="3" t="s">
        <v>54</v>
      </c>
      <c r="C150" s="3" t="s">
        <v>263</v>
      </c>
      <c r="D150" s="239" t="s">
        <v>266</v>
      </c>
      <c r="E150" s="240"/>
      <c r="F150" s="151" t="s">
        <v>71</v>
      </c>
      <c r="G150" s="152">
        <v>8</v>
      </c>
      <c r="H150" s="152">
        <v>0</v>
      </c>
      <c r="I150" s="32">
        <v>21</v>
      </c>
      <c r="J150" s="31">
        <f>ROUND(G150*AO150,2)</f>
        <v>0</v>
      </c>
      <c r="K150" s="31">
        <f>ROUND(G150*AP150,2)</f>
        <v>0</v>
      </c>
      <c r="L150" s="31">
        <f>ROUND(G150*H150,2)</f>
        <v>0</v>
      </c>
      <c r="M150" s="31">
        <f>L150*(1+BW150/100)</f>
        <v>0</v>
      </c>
      <c r="N150" s="31">
        <v>6.5300000000000002E-3</v>
      </c>
      <c r="O150" s="31">
        <f>G150*N150</f>
        <v>5.2240000000000002E-2</v>
      </c>
      <c r="P150" s="33" t="s">
        <v>155</v>
      </c>
      <c r="Z150" s="31">
        <f>ROUND(IF(AQ150="5",BJ150,0),2)</f>
        <v>0</v>
      </c>
      <c r="AB150" s="31">
        <f>ROUND(IF(AQ150="1",BH150,0),2)</f>
        <v>0</v>
      </c>
      <c r="AC150" s="31">
        <f>ROUND(IF(AQ150="1",BI150,0),2)</f>
        <v>0</v>
      </c>
      <c r="AD150" s="31">
        <f>ROUND(IF(AQ150="7",BH150,0),2)</f>
        <v>0</v>
      </c>
      <c r="AE150" s="31">
        <f>ROUND(IF(AQ150="7",BI150,0),2)</f>
        <v>0</v>
      </c>
      <c r="AF150" s="31">
        <f>ROUND(IF(AQ150="2",BH150,0),2)</f>
        <v>0</v>
      </c>
      <c r="AG150" s="31">
        <f>ROUND(IF(AQ150="2",BI150,0),2)</f>
        <v>0</v>
      </c>
      <c r="AH150" s="31">
        <f>ROUND(IF(AQ150="0",BJ150,0),2)</f>
        <v>0</v>
      </c>
      <c r="AI150" s="12" t="s">
        <v>54</v>
      </c>
      <c r="AJ150" s="31">
        <f>IF(AN150=0,L150,0)</f>
        <v>0</v>
      </c>
      <c r="AK150" s="31">
        <f>IF(AN150=12,L150,0)</f>
        <v>0</v>
      </c>
      <c r="AL150" s="31">
        <f>IF(AN150=21,L150,0)</f>
        <v>0</v>
      </c>
      <c r="AN150" s="31">
        <v>21</v>
      </c>
      <c r="AO150" s="31">
        <f>H150*1</f>
        <v>0</v>
      </c>
      <c r="AP150" s="31">
        <f>H150*(1-1)</f>
        <v>0</v>
      </c>
      <c r="AQ150" s="34" t="s">
        <v>57</v>
      </c>
      <c r="AV150" s="31">
        <f>ROUND(AW150+AX150,2)</f>
        <v>0</v>
      </c>
      <c r="AW150" s="31">
        <f>ROUND(G150*AO150,2)</f>
        <v>0</v>
      </c>
      <c r="AX150" s="31">
        <f>ROUND(G150*AP150,2)</f>
        <v>0</v>
      </c>
      <c r="AY150" s="34" t="s">
        <v>214</v>
      </c>
      <c r="AZ150" s="34" t="s">
        <v>180</v>
      </c>
      <c r="BA150" s="12" t="s">
        <v>64</v>
      </c>
      <c r="BC150" s="31">
        <f>AW150+AX150</f>
        <v>0</v>
      </c>
      <c r="BD150" s="31">
        <f>H150/(100-BE150)*100</f>
        <v>0</v>
      </c>
      <c r="BE150" s="31">
        <v>0</v>
      </c>
      <c r="BF150" s="31">
        <f>O150</f>
        <v>5.2240000000000002E-2</v>
      </c>
      <c r="BH150" s="31">
        <f>G150*AO150</f>
        <v>0</v>
      </c>
      <c r="BI150" s="31">
        <f>G150*AP150</f>
        <v>0</v>
      </c>
      <c r="BJ150" s="31">
        <f>G150*H150</f>
        <v>0</v>
      </c>
      <c r="BK150" s="34" t="s">
        <v>98</v>
      </c>
      <c r="BL150" s="31"/>
      <c r="BW150" s="31">
        <f>I150</f>
        <v>21</v>
      </c>
      <c r="BX150" s="4" t="s">
        <v>266</v>
      </c>
    </row>
    <row r="151" spans="1:76">
      <c r="A151" s="35"/>
      <c r="D151" s="153" t="s">
        <v>267</v>
      </c>
      <c r="E151" s="153" t="s">
        <v>54</v>
      </c>
      <c r="F151" s="154"/>
      <c r="G151" s="155">
        <v>8</v>
      </c>
      <c r="H151" s="154"/>
      <c r="P151" s="38"/>
    </row>
    <row r="152" spans="1:76">
      <c r="A152" s="86">
        <f>A150+1</f>
        <v>59</v>
      </c>
      <c r="B152" s="3" t="s">
        <v>54</v>
      </c>
      <c r="C152" s="3" t="s">
        <v>268</v>
      </c>
      <c r="D152" s="239" t="s">
        <v>269</v>
      </c>
      <c r="E152" s="240"/>
      <c r="F152" s="151" t="s">
        <v>202</v>
      </c>
      <c r="G152" s="152">
        <v>412</v>
      </c>
      <c r="H152" s="152">
        <v>0</v>
      </c>
      <c r="I152" s="32">
        <v>21</v>
      </c>
      <c r="J152" s="31">
        <f>ROUND(G152*AO152,2)</f>
        <v>0</v>
      </c>
      <c r="K152" s="31">
        <f>ROUND(G152*AP152,2)</f>
        <v>0</v>
      </c>
      <c r="L152" s="31">
        <f>ROUND(G152*H152,2)</f>
        <v>0</v>
      </c>
      <c r="M152" s="31">
        <f>L152*(1+BW152/100)</f>
        <v>0</v>
      </c>
      <c r="N152" s="31">
        <v>0</v>
      </c>
      <c r="O152" s="31">
        <f>G152*N152</f>
        <v>0</v>
      </c>
      <c r="P152" s="33" t="s">
        <v>61</v>
      </c>
      <c r="Z152" s="31">
        <f>ROUND(IF(AQ152="5",BJ152,0),2)</f>
        <v>0</v>
      </c>
      <c r="AB152" s="31">
        <f>ROUND(IF(AQ152="1",BH152,0),2)</f>
        <v>0</v>
      </c>
      <c r="AC152" s="31">
        <f>ROUND(IF(AQ152="1",BI152,0),2)</f>
        <v>0</v>
      </c>
      <c r="AD152" s="31">
        <f>ROUND(IF(AQ152="7",BH152,0),2)</f>
        <v>0</v>
      </c>
      <c r="AE152" s="31">
        <f>ROUND(IF(AQ152="7",BI152,0),2)</f>
        <v>0</v>
      </c>
      <c r="AF152" s="31">
        <f>ROUND(IF(AQ152="2",BH152,0),2)</f>
        <v>0</v>
      </c>
      <c r="AG152" s="31">
        <f>ROUND(IF(AQ152="2",BI152,0),2)</f>
        <v>0</v>
      </c>
      <c r="AH152" s="31">
        <f>ROUND(IF(AQ152="0",BJ152,0),2)</f>
        <v>0</v>
      </c>
      <c r="AI152" s="12" t="s">
        <v>54</v>
      </c>
      <c r="AJ152" s="31">
        <f>IF(AN152=0,L152,0)</f>
        <v>0</v>
      </c>
      <c r="AK152" s="31">
        <f>IF(AN152=12,L152,0)</f>
        <v>0</v>
      </c>
      <c r="AL152" s="31">
        <f>IF(AN152=21,L152,0)</f>
        <v>0</v>
      </c>
      <c r="AN152" s="31">
        <v>21</v>
      </c>
      <c r="AO152" s="31">
        <f>H152*0</f>
        <v>0</v>
      </c>
      <c r="AP152" s="31">
        <f>H152*(1-0)</f>
        <v>0</v>
      </c>
      <c r="AQ152" s="34" t="s">
        <v>68</v>
      </c>
      <c r="AV152" s="31">
        <f>ROUND(AW152+AX152,2)</f>
        <v>0</v>
      </c>
      <c r="AW152" s="31">
        <f>ROUND(G152*AO152,2)</f>
        <v>0</v>
      </c>
      <c r="AX152" s="31">
        <f>ROUND(G152*AP152,2)</f>
        <v>0</v>
      </c>
      <c r="AY152" s="34" t="s">
        <v>214</v>
      </c>
      <c r="AZ152" s="34" t="s">
        <v>180</v>
      </c>
      <c r="BA152" s="12" t="s">
        <v>64</v>
      </c>
      <c r="BC152" s="31">
        <f>AW152+AX152</f>
        <v>0</v>
      </c>
      <c r="BD152" s="31">
        <f>H152/(100-BE152)*100</f>
        <v>0</v>
      </c>
      <c r="BE152" s="31">
        <v>0</v>
      </c>
      <c r="BF152" s="31">
        <f>O152</f>
        <v>0</v>
      </c>
      <c r="BH152" s="31">
        <f>G152*AO152</f>
        <v>0</v>
      </c>
      <c r="BI152" s="31">
        <f>G152*AP152</f>
        <v>0</v>
      </c>
      <c r="BJ152" s="31">
        <f>G152*H152</f>
        <v>0</v>
      </c>
      <c r="BK152" s="34" t="s">
        <v>65</v>
      </c>
      <c r="BL152" s="31"/>
      <c r="BW152" s="31">
        <f>I152</f>
        <v>21</v>
      </c>
      <c r="BX152" s="4" t="s">
        <v>269</v>
      </c>
    </row>
    <row r="153" spans="1:76">
      <c r="A153" s="35"/>
      <c r="D153" s="153" t="s">
        <v>270</v>
      </c>
      <c r="E153" s="153" t="s">
        <v>54</v>
      </c>
      <c r="F153" s="154"/>
      <c r="G153" s="155">
        <v>412</v>
      </c>
      <c r="H153" s="154"/>
      <c r="P153" s="38"/>
    </row>
    <row r="154" spans="1:76">
      <c r="A154" s="86">
        <f>A152+1</f>
        <v>60</v>
      </c>
      <c r="B154" s="3" t="s">
        <v>54</v>
      </c>
      <c r="C154" s="3" t="s">
        <v>271</v>
      </c>
      <c r="D154" s="239" t="s">
        <v>272</v>
      </c>
      <c r="E154" s="240"/>
      <c r="F154" s="151" t="s">
        <v>202</v>
      </c>
      <c r="G154" s="152">
        <v>206</v>
      </c>
      <c r="H154" s="152">
        <v>0</v>
      </c>
      <c r="I154" s="32">
        <v>21</v>
      </c>
      <c r="J154" s="31">
        <f>ROUND(G154*AO154,2)</f>
        <v>0</v>
      </c>
      <c r="K154" s="31">
        <f>ROUND(G154*AP154,2)</f>
        <v>0</v>
      </c>
      <c r="L154" s="31">
        <f>ROUND(G154*H154,2)</f>
        <v>0</v>
      </c>
      <c r="M154" s="31">
        <f>L154*(1+BW154/100)</f>
        <v>0</v>
      </c>
      <c r="N154" s="31">
        <v>0</v>
      </c>
      <c r="O154" s="31">
        <f>G154*N154</f>
        <v>0</v>
      </c>
      <c r="P154" s="33" t="s">
        <v>61</v>
      </c>
      <c r="Z154" s="31">
        <f>ROUND(IF(AQ154="5",BJ154,0),2)</f>
        <v>0</v>
      </c>
      <c r="AB154" s="31">
        <f>ROUND(IF(AQ154="1",BH154,0),2)</f>
        <v>0</v>
      </c>
      <c r="AC154" s="31">
        <f>ROUND(IF(AQ154="1",BI154,0),2)</f>
        <v>0</v>
      </c>
      <c r="AD154" s="31">
        <f>ROUND(IF(AQ154="7",BH154,0),2)</f>
        <v>0</v>
      </c>
      <c r="AE154" s="31">
        <f>ROUND(IF(AQ154="7",BI154,0),2)</f>
        <v>0</v>
      </c>
      <c r="AF154" s="31">
        <f>ROUND(IF(AQ154="2",BH154,0),2)</f>
        <v>0</v>
      </c>
      <c r="AG154" s="31">
        <f>ROUND(IF(AQ154="2",BI154,0),2)</f>
        <v>0</v>
      </c>
      <c r="AH154" s="31">
        <f>ROUND(IF(AQ154="0",BJ154,0),2)</f>
        <v>0</v>
      </c>
      <c r="AI154" s="12" t="s">
        <v>54</v>
      </c>
      <c r="AJ154" s="31">
        <f>IF(AN154=0,L154,0)</f>
        <v>0</v>
      </c>
      <c r="AK154" s="31">
        <f>IF(AN154=12,L154,0)</f>
        <v>0</v>
      </c>
      <c r="AL154" s="31">
        <f>IF(AN154=21,L154,0)</f>
        <v>0</v>
      </c>
      <c r="AN154" s="31">
        <v>21</v>
      </c>
      <c r="AO154" s="31">
        <f>H154*0</f>
        <v>0</v>
      </c>
      <c r="AP154" s="31">
        <f>H154*(1-0)</f>
        <v>0</v>
      </c>
      <c r="AQ154" s="34" t="s">
        <v>68</v>
      </c>
      <c r="AV154" s="31">
        <f>ROUND(AW154+AX154,2)</f>
        <v>0</v>
      </c>
      <c r="AW154" s="31">
        <f>ROUND(G154*AO154,2)</f>
        <v>0</v>
      </c>
      <c r="AX154" s="31">
        <f>ROUND(G154*AP154,2)</f>
        <v>0</v>
      </c>
      <c r="AY154" s="34" t="s">
        <v>214</v>
      </c>
      <c r="AZ154" s="34" t="s">
        <v>180</v>
      </c>
      <c r="BA154" s="12" t="s">
        <v>64</v>
      </c>
      <c r="BC154" s="31">
        <f>AW154+AX154</f>
        <v>0</v>
      </c>
      <c r="BD154" s="31">
        <f>H154/(100-BE154)*100</f>
        <v>0</v>
      </c>
      <c r="BE154" s="31">
        <v>0</v>
      </c>
      <c r="BF154" s="31">
        <f>O154</f>
        <v>0</v>
      </c>
      <c r="BH154" s="31">
        <f>G154*AO154</f>
        <v>0</v>
      </c>
      <c r="BI154" s="31">
        <f>G154*AP154</f>
        <v>0</v>
      </c>
      <c r="BJ154" s="31">
        <f>G154*H154</f>
        <v>0</v>
      </c>
      <c r="BK154" s="34" t="s">
        <v>65</v>
      </c>
      <c r="BL154" s="31"/>
      <c r="BW154" s="31">
        <f>I154</f>
        <v>21</v>
      </c>
      <c r="BX154" s="4" t="s">
        <v>272</v>
      </c>
    </row>
    <row r="155" spans="1:76">
      <c r="A155" s="35"/>
      <c r="D155" s="153" t="s">
        <v>273</v>
      </c>
      <c r="E155" s="153" t="s">
        <v>54</v>
      </c>
      <c r="F155" s="154"/>
      <c r="G155" s="155">
        <v>206</v>
      </c>
      <c r="H155" s="154"/>
      <c r="P155" s="38"/>
    </row>
    <row r="156" spans="1:76">
      <c r="A156" s="86">
        <f>A154+1</f>
        <v>61</v>
      </c>
      <c r="B156" s="3" t="s">
        <v>54</v>
      </c>
      <c r="C156" s="3" t="s">
        <v>274</v>
      </c>
      <c r="D156" s="239" t="s">
        <v>275</v>
      </c>
      <c r="E156" s="240"/>
      <c r="F156" s="151" t="s">
        <v>202</v>
      </c>
      <c r="G156" s="152">
        <v>206</v>
      </c>
      <c r="H156" s="152">
        <v>0</v>
      </c>
      <c r="I156" s="32">
        <v>21</v>
      </c>
      <c r="J156" s="31">
        <f>ROUND(G156*AO156,2)</f>
        <v>0</v>
      </c>
      <c r="K156" s="31">
        <f>ROUND(G156*AP156,2)</f>
        <v>0</v>
      </c>
      <c r="L156" s="31">
        <f>ROUND(G156*H156,2)</f>
        <v>0</v>
      </c>
      <c r="M156" s="31">
        <f>L156*(1+BW156/100)</f>
        <v>0</v>
      </c>
      <c r="N156" s="31">
        <v>0</v>
      </c>
      <c r="O156" s="31">
        <f>G156*N156</f>
        <v>0</v>
      </c>
      <c r="P156" s="33" t="s">
        <v>61</v>
      </c>
      <c r="Z156" s="31">
        <f>ROUND(IF(AQ156="5",BJ156,0),2)</f>
        <v>0</v>
      </c>
      <c r="AB156" s="31">
        <f>ROUND(IF(AQ156="1",BH156,0),2)</f>
        <v>0</v>
      </c>
      <c r="AC156" s="31">
        <f>ROUND(IF(AQ156="1",BI156,0),2)</f>
        <v>0</v>
      </c>
      <c r="AD156" s="31">
        <f>ROUND(IF(AQ156="7",BH156,0),2)</f>
        <v>0</v>
      </c>
      <c r="AE156" s="31">
        <f>ROUND(IF(AQ156="7",BI156,0),2)</f>
        <v>0</v>
      </c>
      <c r="AF156" s="31">
        <f>ROUND(IF(AQ156="2",BH156,0),2)</f>
        <v>0</v>
      </c>
      <c r="AG156" s="31">
        <f>ROUND(IF(AQ156="2",BI156,0),2)</f>
        <v>0</v>
      </c>
      <c r="AH156" s="31">
        <f>ROUND(IF(AQ156="0",BJ156,0),2)</f>
        <v>0</v>
      </c>
      <c r="AI156" s="12" t="s">
        <v>54</v>
      </c>
      <c r="AJ156" s="31">
        <f>IF(AN156=0,L156,0)</f>
        <v>0</v>
      </c>
      <c r="AK156" s="31">
        <f>IF(AN156=12,L156,0)</f>
        <v>0</v>
      </c>
      <c r="AL156" s="31">
        <f>IF(AN156=21,L156,0)</f>
        <v>0</v>
      </c>
      <c r="AN156" s="31">
        <v>21</v>
      </c>
      <c r="AO156" s="31">
        <f>H156*0</f>
        <v>0</v>
      </c>
      <c r="AP156" s="31">
        <f>H156*(1-0)</f>
        <v>0</v>
      </c>
      <c r="AQ156" s="34" t="s">
        <v>68</v>
      </c>
      <c r="AV156" s="31">
        <f>ROUND(AW156+AX156,2)</f>
        <v>0</v>
      </c>
      <c r="AW156" s="31">
        <f>ROUND(G156*AO156,2)</f>
        <v>0</v>
      </c>
      <c r="AX156" s="31">
        <f>ROUND(G156*AP156,2)</f>
        <v>0</v>
      </c>
      <c r="AY156" s="34" t="s">
        <v>214</v>
      </c>
      <c r="AZ156" s="34" t="s">
        <v>180</v>
      </c>
      <c r="BA156" s="12" t="s">
        <v>64</v>
      </c>
      <c r="BC156" s="31">
        <f>AW156+AX156</f>
        <v>0</v>
      </c>
      <c r="BD156" s="31">
        <f>H156/(100-BE156)*100</f>
        <v>0</v>
      </c>
      <c r="BE156" s="31">
        <v>0</v>
      </c>
      <c r="BF156" s="31">
        <f>O156</f>
        <v>0</v>
      </c>
      <c r="BH156" s="31">
        <f>G156*AO156</f>
        <v>0</v>
      </c>
      <c r="BI156" s="31">
        <f>G156*AP156</f>
        <v>0</v>
      </c>
      <c r="BJ156" s="31">
        <f>G156*H156</f>
        <v>0</v>
      </c>
      <c r="BK156" s="34" t="s">
        <v>65</v>
      </c>
      <c r="BL156" s="31"/>
      <c r="BW156" s="31">
        <f>I156</f>
        <v>21</v>
      </c>
      <c r="BX156" s="4" t="s">
        <v>275</v>
      </c>
    </row>
    <row r="157" spans="1:76">
      <c r="A157" s="2">
        <f>A156+1</f>
        <v>62</v>
      </c>
      <c r="B157" s="3" t="s">
        <v>54</v>
      </c>
      <c r="C157" s="3" t="s">
        <v>276</v>
      </c>
      <c r="D157" s="239" t="s">
        <v>277</v>
      </c>
      <c r="E157" s="240"/>
      <c r="F157" s="151" t="s">
        <v>112</v>
      </c>
      <c r="G157" s="152">
        <v>10</v>
      </c>
      <c r="H157" s="152">
        <v>0</v>
      </c>
      <c r="I157" s="32">
        <v>21</v>
      </c>
      <c r="J157" s="31">
        <f>ROUND(G157*AO157,2)</f>
        <v>0</v>
      </c>
      <c r="K157" s="31">
        <f>ROUND(G157*AP157,2)</f>
        <v>0</v>
      </c>
      <c r="L157" s="31">
        <f>ROUND(G157*H157,2)</f>
        <v>0</v>
      </c>
      <c r="M157" s="31">
        <f>L157*(1+BW157/100)</f>
        <v>0</v>
      </c>
      <c r="N157" s="31">
        <v>0</v>
      </c>
      <c r="O157" s="31">
        <f>G157*N157</f>
        <v>0</v>
      </c>
      <c r="P157" s="33" t="s">
        <v>54</v>
      </c>
      <c r="Z157" s="31">
        <f>ROUND(IF(AQ157="5",BJ157,0),2)</f>
        <v>0</v>
      </c>
      <c r="AB157" s="31">
        <f>ROUND(IF(AQ157="1",BH157,0),2)</f>
        <v>0</v>
      </c>
      <c r="AC157" s="31">
        <f>ROUND(IF(AQ157="1",BI157,0),2)</f>
        <v>0</v>
      </c>
      <c r="AD157" s="31">
        <f>ROUND(IF(AQ157="7",BH157,0),2)</f>
        <v>0</v>
      </c>
      <c r="AE157" s="31">
        <f>ROUND(IF(AQ157="7",BI157,0),2)</f>
        <v>0</v>
      </c>
      <c r="AF157" s="31">
        <f>ROUND(IF(AQ157="2",BH157,0),2)</f>
        <v>0</v>
      </c>
      <c r="AG157" s="31">
        <f>ROUND(IF(AQ157="2",BI157,0),2)</f>
        <v>0</v>
      </c>
      <c r="AH157" s="31">
        <f>ROUND(IF(AQ157="0",BJ157,0),2)</f>
        <v>0</v>
      </c>
      <c r="AI157" s="12" t="s">
        <v>54</v>
      </c>
      <c r="AJ157" s="31">
        <f>IF(AN157=0,L157,0)</f>
        <v>0</v>
      </c>
      <c r="AK157" s="31">
        <f>IF(AN157=12,L157,0)</f>
        <v>0</v>
      </c>
      <c r="AL157" s="31">
        <f>IF(AN157=21,L157,0)</f>
        <v>0</v>
      </c>
      <c r="AN157" s="31">
        <v>21</v>
      </c>
      <c r="AO157" s="31">
        <f>H157*0</f>
        <v>0</v>
      </c>
      <c r="AP157" s="31">
        <f>H157*(1-0)</f>
        <v>0</v>
      </c>
      <c r="AQ157" s="34" t="s">
        <v>68</v>
      </c>
      <c r="AV157" s="31">
        <f>ROUND(AW157+AX157,2)</f>
        <v>0</v>
      </c>
      <c r="AW157" s="31">
        <f>ROUND(G157*AO157,2)</f>
        <v>0</v>
      </c>
      <c r="AX157" s="31">
        <f>ROUND(G157*AP157,2)</f>
        <v>0</v>
      </c>
      <c r="AY157" s="34" t="s">
        <v>214</v>
      </c>
      <c r="AZ157" s="34" t="s">
        <v>180</v>
      </c>
      <c r="BA157" s="12" t="s">
        <v>64</v>
      </c>
      <c r="BC157" s="31">
        <f>AW157+AX157</f>
        <v>0</v>
      </c>
      <c r="BD157" s="31">
        <f>H157/(100-BE157)*100</f>
        <v>0</v>
      </c>
      <c r="BE157" s="31">
        <v>0</v>
      </c>
      <c r="BF157" s="31">
        <f>O157</f>
        <v>0</v>
      </c>
      <c r="BH157" s="31">
        <f>G157*AO157</f>
        <v>0</v>
      </c>
      <c r="BI157" s="31">
        <f>G157*AP157</f>
        <v>0</v>
      </c>
      <c r="BJ157" s="31">
        <f>G157*H157</f>
        <v>0</v>
      </c>
      <c r="BK157" s="34" t="s">
        <v>65</v>
      </c>
      <c r="BL157" s="31"/>
      <c r="BW157" s="31">
        <f>I157</f>
        <v>21</v>
      </c>
      <c r="BX157" s="4" t="s">
        <v>277</v>
      </c>
    </row>
    <row r="158" spans="1:76">
      <c r="A158" s="2">
        <f>A157+1</f>
        <v>63</v>
      </c>
      <c r="B158" s="3" t="s">
        <v>54</v>
      </c>
      <c r="C158" s="3" t="s">
        <v>278</v>
      </c>
      <c r="D158" s="239" t="s">
        <v>279</v>
      </c>
      <c r="E158" s="240"/>
      <c r="F158" s="151" t="s">
        <v>112</v>
      </c>
      <c r="G158" s="152">
        <v>10</v>
      </c>
      <c r="H158" s="152">
        <v>0</v>
      </c>
      <c r="I158" s="32">
        <v>21</v>
      </c>
      <c r="J158" s="31">
        <f>ROUND(G158*AO158,2)</f>
        <v>0</v>
      </c>
      <c r="K158" s="31">
        <f>ROUND(G158*AP158,2)</f>
        <v>0</v>
      </c>
      <c r="L158" s="31">
        <f>ROUND(G158*H158,2)</f>
        <v>0</v>
      </c>
      <c r="M158" s="31">
        <f>L158*(1+BW158/100)</f>
        <v>0</v>
      </c>
      <c r="N158" s="31">
        <v>0</v>
      </c>
      <c r="O158" s="31">
        <f>G158*N158</f>
        <v>0</v>
      </c>
      <c r="P158" s="33" t="s">
        <v>54</v>
      </c>
      <c r="Z158" s="31">
        <f>ROUND(IF(AQ158="5",BJ158,0),2)</f>
        <v>0</v>
      </c>
      <c r="AB158" s="31">
        <f>ROUND(IF(AQ158="1",BH158,0),2)</f>
        <v>0</v>
      </c>
      <c r="AC158" s="31">
        <f>ROUND(IF(AQ158="1",BI158,0),2)</f>
        <v>0</v>
      </c>
      <c r="AD158" s="31">
        <f>ROUND(IF(AQ158="7",BH158,0),2)</f>
        <v>0</v>
      </c>
      <c r="AE158" s="31">
        <f>ROUND(IF(AQ158="7",BI158,0),2)</f>
        <v>0</v>
      </c>
      <c r="AF158" s="31">
        <f>ROUND(IF(AQ158="2",BH158,0),2)</f>
        <v>0</v>
      </c>
      <c r="AG158" s="31">
        <f>ROUND(IF(AQ158="2",BI158,0),2)</f>
        <v>0</v>
      </c>
      <c r="AH158" s="31">
        <f>ROUND(IF(AQ158="0",BJ158,0),2)</f>
        <v>0</v>
      </c>
      <c r="AI158" s="12" t="s">
        <v>54</v>
      </c>
      <c r="AJ158" s="31">
        <f>IF(AN158=0,L158,0)</f>
        <v>0</v>
      </c>
      <c r="AK158" s="31">
        <f>IF(AN158=12,L158,0)</f>
        <v>0</v>
      </c>
      <c r="AL158" s="31">
        <f>IF(AN158=21,L158,0)</f>
        <v>0</v>
      </c>
      <c r="AN158" s="31">
        <v>21</v>
      </c>
      <c r="AO158" s="31">
        <f>H158*1</f>
        <v>0</v>
      </c>
      <c r="AP158" s="31">
        <f>H158*(1-1)</f>
        <v>0</v>
      </c>
      <c r="AQ158" s="34" t="s">
        <v>57</v>
      </c>
      <c r="AV158" s="31">
        <f>ROUND(AW158+AX158,2)</f>
        <v>0</v>
      </c>
      <c r="AW158" s="31">
        <f>ROUND(G158*AO158,2)</f>
        <v>0</v>
      </c>
      <c r="AX158" s="31">
        <f>ROUND(G158*AP158,2)</f>
        <v>0</v>
      </c>
      <c r="AY158" s="34" t="s">
        <v>214</v>
      </c>
      <c r="AZ158" s="34" t="s">
        <v>180</v>
      </c>
      <c r="BA158" s="12" t="s">
        <v>64</v>
      </c>
      <c r="BC158" s="31">
        <f>AW158+AX158</f>
        <v>0</v>
      </c>
      <c r="BD158" s="31">
        <f>H158/(100-BE158)*100</f>
        <v>0</v>
      </c>
      <c r="BE158" s="31">
        <v>0</v>
      </c>
      <c r="BF158" s="31">
        <f>O158</f>
        <v>0</v>
      </c>
      <c r="BH158" s="31">
        <f>G158*AO158</f>
        <v>0</v>
      </c>
      <c r="BI158" s="31">
        <f>G158*AP158</f>
        <v>0</v>
      </c>
      <c r="BJ158" s="31">
        <f>G158*H158</f>
        <v>0</v>
      </c>
      <c r="BK158" s="34" t="s">
        <v>98</v>
      </c>
      <c r="BL158" s="31"/>
      <c r="BW158" s="31">
        <f>I158</f>
        <v>21</v>
      </c>
      <c r="BX158" s="4" t="s">
        <v>279</v>
      </c>
    </row>
    <row r="159" spans="1:76">
      <c r="A159" s="39" t="s">
        <v>54</v>
      </c>
      <c r="B159" s="40" t="s">
        <v>54</v>
      </c>
      <c r="C159" s="40" t="s">
        <v>280</v>
      </c>
      <c r="D159" s="246" t="s">
        <v>281</v>
      </c>
      <c r="E159" s="247"/>
      <c r="F159" s="41" t="s">
        <v>4</v>
      </c>
      <c r="G159" s="41" t="s">
        <v>4</v>
      </c>
      <c r="H159" s="41" t="s">
        <v>4</v>
      </c>
      <c r="I159" s="41" t="s">
        <v>4</v>
      </c>
      <c r="J159" s="1">
        <f>SUM(J160:J190)</f>
        <v>0</v>
      </c>
      <c r="K159" s="1">
        <f>SUM(K160:K190)</f>
        <v>0</v>
      </c>
      <c r="L159" s="1">
        <f>SUM(L160:L192)</f>
        <v>0</v>
      </c>
      <c r="M159" s="1">
        <f>SUM(M160:M190)</f>
        <v>0</v>
      </c>
      <c r="N159" s="12" t="s">
        <v>54</v>
      </c>
      <c r="O159" s="1">
        <f>SUM(O160:O190)</f>
        <v>0</v>
      </c>
      <c r="P159" s="42" t="s">
        <v>54</v>
      </c>
      <c r="AI159" s="12" t="s">
        <v>54</v>
      </c>
      <c r="AS159" s="1">
        <f>SUM(AJ160:AJ190)</f>
        <v>0</v>
      </c>
      <c r="AT159" s="1">
        <f>SUM(AK160:AK190)</f>
        <v>0</v>
      </c>
      <c r="AU159" s="1">
        <f>SUM(AL160:AL190)</f>
        <v>0</v>
      </c>
    </row>
    <row r="160" spans="1:76">
      <c r="A160" s="86">
        <f>A158+1</f>
        <v>64</v>
      </c>
      <c r="B160" s="3" t="s">
        <v>54</v>
      </c>
      <c r="C160" s="3" t="s">
        <v>282</v>
      </c>
      <c r="D160" s="239" t="s">
        <v>283</v>
      </c>
      <c r="E160" s="240"/>
      <c r="F160" s="151" t="s">
        <v>60</v>
      </c>
      <c r="G160" s="152">
        <v>56.429795531099998</v>
      </c>
      <c r="H160" s="31">
        <v>0</v>
      </c>
      <c r="I160" s="32">
        <v>21</v>
      </c>
      <c r="J160" s="31">
        <f>ROUND(G160*AO160,2)</f>
        <v>0</v>
      </c>
      <c r="K160" s="31">
        <f>ROUND(G160*AP160,2)</f>
        <v>0</v>
      </c>
      <c r="L160" s="31">
        <f>ROUND(G160*H160,2)</f>
        <v>0</v>
      </c>
      <c r="M160" s="31">
        <f>L160*(1+BW160/100)</f>
        <v>0</v>
      </c>
      <c r="N160" s="31">
        <v>0</v>
      </c>
      <c r="O160" s="31">
        <f>G160*N160</f>
        <v>0</v>
      </c>
      <c r="P160" s="33" t="s">
        <v>61</v>
      </c>
      <c r="Z160" s="31">
        <f>ROUND(IF(AQ160="5",BJ160,0),2)</f>
        <v>0</v>
      </c>
      <c r="AB160" s="31">
        <f>ROUND(IF(AQ160="1",BH160,0),2)</f>
        <v>0</v>
      </c>
      <c r="AC160" s="31">
        <f>ROUND(IF(AQ160="1",BI160,0),2)</f>
        <v>0</v>
      </c>
      <c r="AD160" s="31">
        <f>ROUND(IF(AQ160="7",BH160,0),2)</f>
        <v>0</v>
      </c>
      <c r="AE160" s="31">
        <f>ROUND(IF(AQ160="7",BI160,0),2)</f>
        <v>0</v>
      </c>
      <c r="AF160" s="31">
        <f>ROUND(IF(AQ160="2",BH160,0),2)</f>
        <v>0</v>
      </c>
      <c r="AG160" s="31">
        <f>ROUND(IF(AQ160="2",BI160,0),2)</f>
        <v>0</v>
      </c>
      <c r="AH160" s="31">
        <f>ROUND(IF(AQ160="0",BJ160,0),2)</f>
        <v>0</v>
      </c>
      <c r="AI160" s="12" t="s">
        <v>54</v>
      </c>
      <c r="AJ160" s="31">
        <f>IF(AN160=0,L160,0)</f>
        <v>0</v>
      </c>
      <c r="AK160" s="31">
        <f>IF(AN160=12,L160,0)</f>
        <v>0</v>
      </c>
      <c r="AL160" s="31">
        <f>IF(AN160=21,L160,0)</f>
        <v>0</v>
      </c>
      <c r="AN160" s="31">
        <v>21</v>
      </c>
      <c r="AO160" s="31">
        <f>H160*0</f>
        <v>0</v>
      </c>
      <c r="AP160" s="31">
        <f>H160*(1-0)</f>
        <v>0</v>
      </c>
      <c r="AQ160" s="34" t="s">
        <v>90</v>
      </c>
      <c r="AV160" s="31">
        <f>ROUND(AW160+AX160,2)</f>
        <v>0</v>
      </c>
      <c r="AW160" s="31">
        <f>ROUND(G160*AO160,2)</f>
        <v>0</v>
      </c>
      <c r="AX160" s="31">
        <f>ROUND(G160*AP160,2)</f>
        <v>0</v>
      </c>
      <c r="AY160" s="34" t="s">
        <v>284</v>
      </c>
      <c r="AZ160" s="34" t="s">
        <v>180</v>
      </c>
      <c r="BA160" s="12" t="s">
        <v>64</v>
      </c>
      <c r="BC160" s="31">
        <f>AW160+AX160</f>
        <v>0</v>
      </c>
      <c r="BD160" s="31">
        <f>H160/(100-BE160)*100</f>
        <v>0</v>
      </c>
      <c r="BE160" s="31">
        <v>0</v>
      </c>
      <c r="BF160" s="31">
        <f>O160</f>
        <v>0</v>
      </c>
      <c r="BH160" s="31">
        <f>G160*AO160</f>
        <v>0</v>
      </c>
      <c r="BI160" s="31">
        <f>G160*AP160</f>
        <v>0</v>
      </c>
      <c r="BJ160" s="31">
        <f>G160*H160</f>
        <v>0</v>
      </c>
      <c r="BK160" s="34" t="s">
        <v>65</v>
      </c>
      <c r="BL160" s="31"/>
      <c r="BW160" s="31">
        <f>I160</f>
        <v>21</v>
      </c>
      <c r="BX160" s="4" t="s">
        <v>283</v>
      </c>
    </row>
    <row r="161" spans="1:76">
      <c r="A161" s="35"/>
      <c r="D161" s="153" t="s">
        <v>285</v>
      </c>
      <c r="E161" s="153" t="s">
        <v>54</v>
      </c>
      <c r="F161" s="154"/>
      <c r="G161" s="155">
        <v>2.2057743780000005</v>
      </c>
      <c r="P161" s="38"/>
    </row>
    <row r="162" spans="1:76">
      <c r="A162" s="35"/>
      <c r="D162" s="153" t="s">
        <v>286</v>
      </c>
      <c r="E162" s="153" t="s">
        <v>54</v>
      </c>
      <c r="F162" s="154"/>
      <c r="G162" s="155">
        <v>0.90826115310000011</v>
      </c>
      <c r="P162" s="38"/>
    </row>
    <row r="163" spans="1:76">
      <c r="A163" s="35"/>
      <c r="D163" s="153" t="s">
        <v>287</v>
      </c>
      <c r="E163" s="153" t="s">
        <v>54</v>
      </c>
      <c r="F163" s="154"/>
      <c r="G163" s="155">
        <v>2.2228499999999998</v>
      </c>
      <c r="P163" s="38"/>
    </row>
    <row r="164" spans="1:76">
      <c r="A164" s="35"/>
      <c r="D164" s="153" t="s">
        <v>288</v>
      </c>
      <c r="E164" s="153" t="s">
        <v>54</v>
      </c>
      <c r="F164" s="154"/>
      <c r="G164" s="155">
        <v>6.4909999999999995E-2</v>
      </c>
      <c r="P164" s="38"/>
    </row>
    <row r="165" spans="1:76">
      <c r="A165" s="35"/>
      <c r="D165" s="153" t="s">
        <v>289</v>
      </c>
      <c r="E165" s="153" t="s">
        <v>54</v>
      </c>
      <c r="F165" s="154"/>
      <c r="G165" s="155">
        <v>50.914999999999999</v>
      </c>
      <c r="P165" s="38"/>
    </row>
    <row r="166" spans="1:76">
      <c r="A166" s="35"/>
      <c r="D166" s="153" t="s">
        <v>290</v>
      </c>
      <c r="E166" s="153" t="s">
        <v>54</v>
      </c>
      <c r="F166" s="154"/>
      <c r="G166" s="155">
        <v>0.11299999999999999</v>
      </c>
      <c r="P166" s="38"/>
    </row>
    <row r="167" spans="1:76">
      <c r="A167" s="2">
        <f>A160+1</f>
        <v>65</v>
      </c>
      <c r="B167" s="3" t="s">
        <v>54</v>
      </c>
      <c r="C167" s="3" t="s">
        <v>291</v>
      </c>
      <c r="D167" s="239" t="s">
        <v>292</v>
      </c>
      <c r="E167" s="240"/>
      <c r="F167" s="151" t="s">
        <v>60</v>
      </c>
      <c r="G167" s="152">
        <v>56.429795531099998</v>
      </c>
      <c r="H167" s="31">
        <v>0</v>
      </c>
      <c r="I167" s="32">
        <v>21</v>
      </c>
      <c r="J167" s="31">
        <f>ROUND(G167*AO167,2)</f>
        <v>0</v>
      </c>
      <c r="K167" s="31">
        <f>ROUND(G167*AP167,2)</f>
        <v>0</v>
      </c>
      <c r="L167" s="31">
        <f>ROUND(G167*H167,2)</f>
        <v>0</v>
      </c>
      <c r="M167" s="31">
        <f>L167*(1+BW167/100)</f>
        <v>0</v>
      </c>
      <c r="N167" s="31">
        <v>0</v>
      </c>
      <c r="O167" s="31">
        <f>G167*N167</f>
        <v>0</v>
      </c>
      <c r="P167" s="33" t="s">
        <v>61</v>
      </c>
      <c r="Z167" s="31">
        <f>ROUND(IF(AQ167="5",BJ167,0),2)</f>
        <v>0</v>
      </c>
      <c r="AB167" s="31">
        <f>ROUND(IF(AQ167="1",BH167,0),2)</f>
        <v>0</v>
      </c>
      <c r="AC167" s="31">
        <f>ROUND(IF(AQ167="1",BI167,0),2)</f>
        <v>0</v>
      </c>
      <c r="AD167" s="31">
        <f>ROUND(IF(AQ167="7",BH167,0),2)</f>
        <v>0</v>
      </c>
      <c r="AE167" s="31">
        <f>ROUND(IF(AQ167="7",BI167,0),2)</f>
        <v>0</v>
      </c>
      <c r="AF167" s="31">
        <f>ROUND(IF(AQ167="2",BH167,0),2)</f>
        <v>0</v>
      </c>
      <c r="AG167" s="31">
        <f>ROUND(IF(AQ167="2",BI167,0),2)</f>
        <v>0</v>
      </c>
      <c r="AH167" s="31">
        <f>ROUND(IF(AQ167="0",BJ167,0),2)</f>
        <v>0</v>
      </c>
      <c r="AI167" s="12" t="s">
        <v>54</v>
      </c>
      <c r="AJ167" s="31">
        <f>IF(AN167=0,L167,0)</f>
        <v>0</v>
      </c>
      <c r="AK167" s="31">
        <f>IF(AN167=12,L167,0)</f>
        <v>0</v>
      </c>
      <c r="AL167" s="31">
        <f>IF(AN167=21,L167,0)</f>
        <v>0</v>
      </c>
      <c r="AN167" s="31">
        <v>21</v>
      </c>
      <c r="AO167" s="31">
        <f>H167*0</f>
        <v>0</v>
      </c>
      <c r="AP167" s="31">
        <f>H167*(1-0)</f>
        <v>0</v>
      </c>
      <c r="AQ167" s="34" t="s">
        <v>90</v>
      </c>
      <c r="AV167" s="31">
        <f>ROUND(AW167+AX167,2)</f>
        <v>0</v>
      </c>
      <c r="AW167" s="31">
        <f>ROUND(G167*AO167,2)</f>
        <v>0</v>
      </c>
      <c r="AX167" s="31">
        <f>ROUND(G167*AP167,2)</f>
        <v>0</v>
      </c>
      <c r="AY167" s="34" t="s">
        <v>284</v>
      </c>
      <c r="AZ167" s="34" t="s">
        <v>180</v>
      </c>
      <c r="BA167" s="12" t="s">
        <v>64</v>
      </c>
      <c r="BC167" s="31">
        <f>AW167+AX167</f>
        <v>0</v>
      </c>
      <c r="BD167" s="31">
        <f>H167/(100-BE167)*100</f>
        <v>0</v>
      </c>
      <c r="BE167" s="31">
        <v>0</v>
      </c>
      <c r="BF167" s="31">
        <f>O167</f>
        <v>0</v>
      </c>
      <c r="BH167" s="31">
        <f>G167*AO167</f>
        <v>0</v>
      </c>
      <c r="BI167" s="31">
        <f>G167*AP167</f>
        <v>0</v>
      </c>
      <c r="BJ167" s="31">
        <f>G167*H167</f>
        <v>0</v>
      </c>
      <c r="BK167" s="34" t="s">
        <v>65</v>
      </c>
      <c r="BL167" s="31"/>
      <c r="BW167" s="31">
        <f>I167</f>
        <v>21</v>
      </c>
      <c r="BX167" s="4" t="s">
        <v>292</v>
      </c>
    </row>
    <row r="168" spans="1:76">
      <c r="A168" s="35"/>
      <c r="D168" s="153" t="s">
        <v>285</v>
      </c>
      <c r="E168" s="153" t="s">
        <v>54</v>
      </c>
      <c r="F168" s="154"/>
      <c r="G168" s="155">
        <v>2.2057743780000005</v>
      </c>
      <c r="P168" s="38"/>
    </row>
    <row r="169" spans="1:76">
      <c r="A169" s="35"/>
      <c r="D169" s="153" t="s">
        <v>286</v>
      </c>
      <c r="E169" s="153" t="s">
        <v>54</v>
      </c>
      <c r="F169" s="154"/>
      <c r="G169" s="155">
        <v>0.90826115310000011</v>
      </c>
      <c r="P169" s="38"/>
    </row>
    <row r="170" spans="1:76">
      <c r="A170" s="35"/>
      <c r="D170" s="153" t="s">
        <v>287</v>
      </c>
      <c r="E170" s="153" t="s">
        <v>54</v>
      </c>
      <c r="F170" s="154"/>
      <c r="G170" s="155">
        <v>2.2228499999999998</v>
      </c>
      <c r="P170" s="38"/>
    </row>
    <row r="171" spans="1:76">
      <c r="A171" s="35"/>
      <c r="D171" s="153" t="s">
        <v>288</v>
      </c>
      <c r="E171" s="153" t="s">
        <v>54</v>
      </c>
      <c r="F171" s="154"/>
      <c r="G171" s="155">
        <v>6.4909999999999995E-2</v>
      </c>
      <c r="P171" s="38"/>
    </row>
    <row r="172" spans="1:76">
      <c r="A172" s="35"/>
      <c r="D172" s="153" t="s">
        <v>289</v>
      </c>
      <c r="E172" s="153" t="s">
        <v>54</v>
      </c>
      <c r="F172" s="154"/>
      <c r="G172" s="155">
        <v>50.914999999999999</v>
      </c>
      <c r="P172" s="38"/>
    </row>
    <row r="173" spans="1:76">
      <c r="A173" s="35"/>
      <c r="D173" s="153" t="s">
        <v>290</v>
      </c>
      <c r="E173" s="153" t="s">
        <v>54</v>
      </c>
      <c r="F173" s="154"/>
      <c r="G173" s="155">
        <v>0.11299999999999999</v>
      </c>
      <c r="P173" s="38"/>
    </row>
    <row r="174" spans="1:76">
      <c r="A174" s="2">
        <f>A167+1</f>
        <v>66</v>
      </c>
      <c r="B174" s="3" t="s">
        <v>54</v>
      </c>
      <c r="C174" s="3" t="s">
        <v>298</v>
      </c>
      <c r="D174" s="239" t="s">
        <v>299</v>
      </c>
      <c r="E174" s="240"/>
      <c r="F174" s="151" t="s">
        <v>60</v>
      </c>
      <c r="G174" s="152">
        <v>56.429795531099998</v>
      </c>
      <c r="H174" s="31">
        <v>0</v>
      </c>
      <c r="I174" s="32">
        <v>21</v>
      </c>
      <c r="J174" s="31">
        <f>ROUND(G174*AO174,2)</f>
        <v>0</v>
      </c>
      <c r="K174" s="31">
        <f>ROUND(G174*AP174,2)</f>
        <v>0</v>
      </c>
      <c r="L174" s="31">
        <f>ROUND(G174*H174,2)</f>
        <v>0</v>
      </c>
      <c r="M174" s="31">
        <f>L174*(1+BW174/100)</f>
        <v>0</v>
      </c>
      <c r="N174" s="31">
        <v>0</v>
      </c>
      <c r="O174" s="31">
        <f>G174*N174</f>
        <v>0</v>
      </c>
      <c r="P174" s="33" t="s">
        <v>61</v>
      </c>
      <c r="Z174" s="31">
        <f>ROUND(IF(AQ174="5",BJ174,0),2)</f>
        <v>0</v>
      </c>
      <c r="AB174" s="31">
        <f>ROUND(IF(AQ174="1",BH174,0),2)</f>
        <v>0</v>
      </c>
      <c r="AC174" s="31">
        <f>ROUND(IF(AQ174="1",BI174,0),2)</f>
        <v>0</v>
      </c>
      <c r="AD174" s="31">
        <f>ROUND(IF(AQ174="7",BH174,0),2)</f>
        <v>0</v>
      </c>
      <c r="AE174" s="31">
        <f>ROUND(IF(AQ174="7",BI174,0),2)</f>
        <v>0</v>
      </c>
      <c r="AF174" s="31">
        <f>ROUND(IF(AQ174="2",BH174,0),2)</f>
        <v>0</v>
      </c>
      <c r="AG174" s="31">
        <f>ROUND(IF(AQ174="2",BI174,0),2)</f>
        <v>0</v>
      </c>
      <c r="AH174" s="31">
        <f>ROUND(IF(AQ174="0",BJ174,0),2)</f>
        <v>0</v>
      </c>
      <c r="AI174" s="12" t="s">
        <v>54</v>
      </c>
      <c r="AJ174" s="31">
        <f>IF(AN174=0,L174,0)</f>
        <v>0</v>
      </c>
      <c r="AK174" s="31">
        <f>IF(AN174=12,L174,0)</f>
        <v>0</v>
      </c>
      <c r="AL174" s="31">
        <f>IF(AN174=21,L174,0)</f>
        <v>0</v>
      </c>
      <c r="AN174" s="31">
        <v>21</v>
      </c>
      <c r="AO174" s="31">
        <f>H174*0</f>
        <v>0</v>
      </c>
      <c r="AP174" s="31">
        <f>H174*(1-0)</f>
        <v>0</v>
      </c>
      <c r="AQ174" s="34" t="s">
        <v>90</v>
      </c>
      <c r="AV174" s="31">
        <f>ROUND(AW174+AX174,2)</f>
        <v>0</v>
      </c>
      <c r="AW174" s="31">
        <f>ROUND(G174*AO174,2)</f>
        <v>0</v>
      </c>
      <c r="AX174" s="31">
        <f>ROUND(G174*AP174,2)</f>
        <v>0</v>
      </c>
      <c r="AY174" s="34" t="s">
        <v>284</v>
      </c>
      <c r="AZ174" s="34" t="s">
        <v>180</v>
      </c>
      <c r="BA174" s="12" t="s">
        <v>64</v>
      </c>
      <c r="BC174" s="31">
        <f>AW174+AX174</f>
        <v>0</v>
      </c>
      <c r="BD174" s="31">
        <f>H174/(100-BE174)*100</f>
        <v>0</v>
      </c>
      <c r="BE174" s="31">
        <v>0</v>
      </c>
      <c r="BF174" s="31">
        <f>O174</f>
        <v>0</v>
      </c>
      <c r="BH174" s="31">
        <f>G174*AO174</f>
        <v>0</v>
      </c>
      <c r="BI174" s="31">
        <f>G174*AP174</f>
        <v>0</v>
      </c>
      <c r="BJ174" s="31">
        <f>G174*H174</f>
        <v>0</v>
      </c>
      <c r="BK174" s="34" t="s">
        <v>65</v>
      </c>
      <c r="BL174" s="31"/>
      <c r="BW174" s="31">
        <f>I174</f>
        <v>21</v>
      </c>
      <c r="BX174" s="4" t="s">
        <v>299</v>
      </c>
    </row>
    <row r="175" spans="1:76">
      <c r="A175" s="35"/>
      <c r="D175" s="153" t="s">
        <v>285</v>
      </c>
      <c r="E175" s="153" t="s">
        <v>54</v>
      </c>
      <c r="F175" s="154"/>
      <c r="G175" s="155">
        <v>2.2057743780000005</v>
      </c>
      <c r="P175" s="38"/>
    </row>
    <row r="176" spans="1:76">
      <c r="A176" s="35"/>
      <c r="D176" s="153" t="s">
        <v>286</v>
      </c>
      <c r="E176" s="153" t="s">
        <v>54</v>
      </c>
      <c r="F176" s="154"/>
      <c r="G176" s="155">
        <v>0.90826115310000011</v>
      </c>
      <c r="P176" s="38"/>
    </row>
    <row r="177" spans="1:76">
      <c r="A177" s="35"/>
      <c r="D177" s="153" t="s">
        <v>287</v>
      </c>
      <c r="E177" s="153" t="s">
        <v>54</v>
      </c>
      <c r="F177" s="154"/>
      <c r="G177" s="155">
        <v>2.2228499999999998</v>
      </c>
      <c r="P177" s="38"/>
    </row>
    <row r="178" spans="1:76">
      <c r="A178" s="35"/>
      <c r="D178" s="153" t="s">
        <v>300</v>
      </c>
      <c r="E178" s="153" t="s">
        <v>54</v>
      </c>
      <c r="F178" s="154"/>
      <c r="G178" s="155">
        <v>6.4909999999999995E-2</v>
      </c>
      <c r="P178" s="38"/>
    </row>
    <row r="179" spans="1:76">
      <c r="A179" s="35"/>
      <c r="D179" s="153" t="s">
        <v>301</v>
      </c>
      <c r="E179" s="153" t="s">
        <v>54</v>
      </c>
      <c r="F179" s="154"/>
      <c r="G179" s="155">
        <v>50.914999999999999</v>
      </c>
      <c r="P179" s="38"/>
    </row>
    <row r="180" spans="1:76">
      <c r="A180" s="35"/>
      <c r="D180" s="153" t="s">
        <v>302</v>
      </c>
      <c r="E180" s="153" t="s">
        <v>54</v>
      </c>
      <c r="F180" s="154"/>
      <c r="G180" s="155">
        <v>0.11299999999999999</v>
      </c>
      <c r="P180" s="38"/>
    </row>
    <row r="181" spans="1:76">
      <c r="A181" s="2">
        <f>A174+1</f>
        <v>67</v>
      </c>
      <c r="B181" s="3" t="s">
        <v>54</v>
      </c>
      <c r="C181" s="3" t="s">
        <v>303</v>
      </c>
      <c r="D181" s="239" t="s">
        <v>304</v>
      </c>
      <c r="E181" s="240"/>
      <c r="F181" s="151" t="s">
        <v>60</v>
      </c>
      <c r="G181" s="152">
        <v>1014.2673195598001</v>
      </c>
      <c r="H181" s="31">
        <v>0</v>
      </c>
      <c r="I181" s="32">
        <v>21</v>
      </c>
      <c r="J181" s="31">
        <f>ROUND(G181*AO181,2)</f>
        <v>0</v>
      </c>
      <c r="K181" s="31">
        <f>ROUND(G181*AP181,2)</f>
        <v>0</v>
      </c>
      <c r="L181" s="31">
        <f>ROUND(G181*H181,2)</f>
        <v>0</v>
      </c>
      <c r="M181" s="31">
        <f>L181*(1+BW181/100)</f>
        <v>0</v>
      </c>
      <c r="N181" s="31">
        <v>0</v>
      </c>
      <c r="O181" s="31">
        <f>G181*N181</f>
        <v>0</v>
      </c>
      <c r="P181" s="33" t="s">
        <v>61</v>
      </c>
      <c r="Z181" s="31">
        <f>ROUND(IF(AQ181="5",BJ181,0),2)</f>
        <v>0</v>
      </c>
      <c r="AB181" s="31">
        <f>ROUND(IF(AQ181="1",BH181,0),2)</f>
        <v>0</v>
      </c>
      <c r="AC181" s="31">
        <f>ROUND(IF(AQ181="1",BI181,0),2)</f>
        <v>0</v>
      </c>
      <c r="AD181" s="31">
        <f>ROUND(IF(AQ181="7",BH181,0),2)</f>
        <v>0</v>
      </c>
      <c r="AE181" s="31">
        <f>ROUND(IF(AQ181="7",BI181,0),2)</f>
        <v>0</v>
      </c>
      <c r="AF181" s="31">
        <f>ROUND(IF(AQ181="2",BH181,0),2)</f>
        <v>0</v>
      </c>
      <c r="AG181" s="31">
        <f>ROUND(IF(AQ181="2",BI181,0),2)</f>
        <v>0</v>
      </c>
      <c r="AH181" s="31">
        <f>ROUND(IF(AQ181="0",BJ181,0),2)</f>
        <v>0</v>
      </c>
      <c r="AI181" s="12" t="s">
        <v>54</v>
      </c>
      <c r="AJ181" s="31">
        <f>IF(AN181=0,L181,0)</f>
        <v>0</v>
      </c>
      <c r="AK181" s="31">
        <f>IF(AN181=12,L181,0)</f>
        <v>0</v>
      </c>
      <c r="AL181" s="31">
        <f>IF(AN181=21,L181,0)</f>
        <v>0</v>
      </c>
      <c r="AN181" s="31">
        <v>21</v>
      </c>
      <c r="AO181" s="31">
        <f>H181*0</f>
        <v>0</v>
      </c>
      <c r="AP181" s="31">
        <f>H181*(1-0)</f>
        <v>0</v>
      </c>
      <c r="AQ181" s="34" t="s">
        <v>90</v>
      </c>
      <c r="AV181" s="31">
        <f>ROUND(AW181+AX181,2)</f>
        <v>0</v>
      </c>
      <c r="AW181" s="31">
        <f>ROUND(G181*AO181,2)</f>
        <v>0</v>
      </c>
      <c r="AX181" s="31">
        <f>ROUND(G181*AP181,2)</f>
        <v>0</v>
      </c>
      <c r="AY181" s="34" t="s">
        <v>284</v>
      </c>
      <c r="AZ181" s="34" t="s">
        <v>180</v>
      </c>
      <c r="BA181" s="12" t="s">
        <v>64</v>
      </c>
      <c r="BC181" s="31">
        <f>AW181+AX181</f>
        <v>0</v>
      </c>
      <c r="BD181" s="31">
        <f>H181/(100-BE181)*100</f>
        <v>0</v>
      </c>
      <c r="BE181" s="31">
        <v>0</v>
      </c>
      <c r="BF181" s="31">
        <f>O181</f>
        <v>0</v>
      </c>
      <c r="BH181" s="31">
        <f>G181*AO181</f>
        <v>0</v>
      </c>
      <c r="BI181" s="31">
        <f>G181*AP181</f>
        <v>0</v>
      </c>
      <c r="BJ181" s="31">
        <f>G181*H181</f>
        <v>0</v>
      </c>
      <c r="BK181" s="34" t="s">
        <v>65</v>
      </c>
      <c r="BL181" s="31"/>
      <c r="BW181" s="31">
        <f>I181</f>
        <v>21</v>
      </c>
      <c r="BX181" s="4" t="s">
        <v>304</v>
      </c>
    </row>
    <row r="182" spans="1:76">
      <c r="A182" s="35"/>
      <c r="D182" s="153" t="s">
        <v>293</v>
      </c>
      <c r="E182" s="153" t="s">
        <v>54</v>
      </c>
      <c r="F182" s="154"/>
      <c r="G182" s="155">
        <v>39.703938804000011</v>
      </c>
      <c r="P182" s="38"/>
    </row>
    <row r="183" spans="1:76">
      <c r="A183" s="35"/>
      <c r="D183" s="153" t="s">
        <v>294</v>
      </c>
      <c r="E183" s="153" t="s">
        <v>54</v>
      </c>
      <c r="F183" s="154"/>
      <c r="G183" s="155">
        <v>16.348700755800003</v>
      </c>
      <c r="P183" s="38"/>
    </row>
    <row r="184" spans="1:76">
      <c r="A184" s="35"/>
      <c r="D184" s="153" t="s">
        <v>295</v>
      </c>
      <c r="E184" s="153" t="s">
        <v>54</v>
      </c>
      <c r="F184" s="154"/>
      <c r="G184" s="155">
        <v>40.011299999999999</v>
      </c>
      <c r="P184" s="38"/>
    </row>
    <row r="185" spans="1:76">
      <c r="A185" s="35"/>
      <c r="D185" s="153" t="s">
        <v>296</v>
      </c>
      <c r="E185" s="153" t="s">
        <v>54</v>
      </c>
      <c r="F185" s="154"/>
      <c r="G185" s="155">
        <v>1.16838</v>
      </c>
      <c r="P185" s="38"/>
    </row>
    <row r="186" spans="1:76">
      <c r="A186" s="35"/>
      <c r="D186" s="153" t="s">
        <v>297</v>
      </c>
      <c r="E186" s="153" t="s">
        <v>54</v>
      </c>
      <c r="F186" s="154"/>
      <c r="G186" s="155">
        <v>916.47</v>
      </c>
      <c r="P186" s="38"/>
    </row>
    <row r="187" spans="1:76">
      <c r="A187" s="35"/>
      <c r="D187" s="153" t="s">
        <v>440</v>
      </c>
      <c r="E187" s="153" t="s">
        <v>54</v>
      </c>
      <c r="F187" s="154"/>
      <c r="G187" s="155">
        <v>0.56499999999999995</v>
      </c>
      <c r="P187" s="38"/>
    </row>
    <row r="188" spans="1:76">
      <c r="A188" s="2">
        <f>A181+1</f>
        <v>68</v>
      </c>
      <c r="B188" s="3" t="s">
        <v>54</v>
      </c>
      <c r="C188" s="3" t="s">
        <v>305</v>
      </c>
      <c r="D188" s="239" t="s">
        <v>306</v>
      </c>
      <c r="E188" s="240"/>
      <c r="F188" s="151" t="s">
        <v>60</v>
      </c>
      <c r="G188" s="152">
        <v>0.90826115310000011</v>
      </c>
      <c r="H188" s="31">
        <v>0</v>
      </c>
      <c r="I188" s="32">
        <v>21</v>
      </c>
      <c r="J188" s="31">
        <f>ROUND(G188*AO188,2)</f>
        <v>0</v>
      </c>
      <c r="K188" s="31">
        <f>ROUND(G188*AP188,2)</f>
        <v>0</v>
      </c>
      <c r="L188" s="31">
        <f>ROUND(G188*H188,2)</f>
        <v>0</v>
      </c>
      <c r="M188" s="31">
        <f>L188*(1+BW188/100)</f>
        <v>0</v>
      </c>
      <c r="N188" s="31">
        <v>0</v>
      </c>
      <c r="O188" s="31">
        <f>G188*N188</f>
        <v>0</v>
      </c>
      <c r="P188" s="33" t="s">
        <v>61</v>
      </c>
      <c r="Z188" s="31">
        <f>ROUND(IF(AQ188="5",BJ188,0),2)</f>
        <v>0</v>
      </c>
      <c r="AB188" s="31">
        <f>ROUND(IF(AQ188="1",BH188,0),2)</f>
        <v>0</v>
      </c>
      <c r="AC188" s="31">
        <f>ROUND(IF(AQ188="1",BI188,0),2)</f>
        <v>0</v>
      </c>
      <c r="AD188" s="31">
        <f>ROUND(IF(AQ188="7",BH188,0),2)</f>
        <v>0</v>
      </c>
      <c r="AE188" s="31">
        <f>ROUND(IF(AQ188="7",BI188,0),2)</f>
        <v>0</v>
      </c>
      <c r="AF188" s="31">
        <f>ROUND(IF(AQ188="2",BH188,0),2)</f>
        <v>0</v>
      </c>
      <c r="AG188" s="31">
        <f>ROUND(IF(AQ188="2",BI188,0),2)</f>
        <v>0</v>
      </c>
      <c r="AH188" s="31">
        <f>ROUND(IF(AQ188="0",BJ188,0),2)</f>
        <v>0</v>
      </c>
      <c r="AI188" s="12" t="s">
        <v>54</v>
      </c>
      <c r="AJ188" s="31">
        <f>IF(AN188=0,L188,0)</f>
        <v>0</v>
      </c>
      <c r="AK188" s="31">
        <f>IF(AN188=12,L188,0)</f>
        <v>0</v>
      </c>
      <c r="AL188" s="31">
        <f>IF(AN188=21,L188,0)</f>
        <v>0</v>
      </c>
      <c r="AN188" s="31">
        <v>21</v>
      </c>
      <c r="AO188" s="31">
        <f>H188*0</f>
        <v>0</v>
      </c>
      <c r="AP188" s="31">
        <f>H188*(1-0)</f>
        <v>0</v>
      </c>
      <c r="AQ188" s="34" t="s">
        <v>90</v>
      </c>
      <c r="AV188" s="31">
        <f>ROUND(AW188+AX188,2)</f>
        <v>0</v>
      </c>
      <c r="AW188" s="31">
        <f>ROUND(G188*AO188,2)</f>
        <v>0</v>
      </c>
      <c r="AX188" s="31">
        <f>ROUND(G188*AP188,2)</f>
        <v>0</v>
      </c>
      <c r="AY188" s="34" t="s">
        <v>284</v>
      </c>
      <c r="AZ188" s="34" t="s">
        <v>180</v>
      </c>
      <c r="BA188" s="12" t="s">
        <v>64</v>
      </c>
      <c r="BC188" s="31">
        <f>AW188+AX188</f>
        <v>0</v>
      </c>
      <c r="BD188" s="31">
        <f>H188/(100-BE188)*100</f>
        <v>0</v>
      </c>
      <c r="BE188" s="31">
        <v>0</v>
      </c>
      <c r="BF188" s="31">
        <f>O188</f>
        <v>0</v>
      </c>
      <c r="BH188" s="31">
        <f>G188*AO188</f>
        <v>0</v>
      </c>
      <c r="BI188" s="31">
        <f>G188*AP188</f>
        <v>0</v>
      </c>
      <c r="BJ188" s="31">
        <f>G188*H188</f>
        <v>0</v>
      </c>
      <c r="BK188" s="34" t="s">
        <v>65</v>
      </c>
      <c r="BL188" s="31"/>
      <c r="BW188" s="31">
        <f>I188</f>
        <v>21</v>
      </c>
      <c r="BX188" s="4" t="s">
        <v>306</v>
      </c>
    </row>
    <row r="189" spans="1:76">
      <c r="A189" s="35"/>
      <c r="D189" s="153" t="s">
        <v>286</v>
      </c>
      <c r="E189" s="153" t="s">
        <v>54</v>
      </c>
      <c r="F189" s="154"/>
      <c r="G189" s="155">
        <v>0.90826115310000011</v>
      </c>
      <c r="P189" s="38"/>
    </row>
    <row r="190" spans="1:76">
      <c r="A190" s="86">
        <f>A188+1</f>
        <v>69</v>
      </c>
      <c r="B190" s="3" t="s">
        <v>54</v>
      </c>
      <c r="C190" s="3" t="s">
        <v>307</v>
      </c>
      <c r="D190" s="239" t="s">
        <v>308</v>
      </c>
      <c r="E190" s="240"/>
      <c r="F190" s="151" t="s">
        <v>60</v>
      </c>
      <c r="G190" s="152">
        <v>50.979909999999997</v>
      </c>
      <c r="H190" s="31">
        <v>0</v>
      </c>
      <c r="I190" s="32">
        <v>21</v>
      </c>
      <c r="J190" s="31">
        <f>ROUND(G190*AO190,2)</f>
        <v>0</v>
      </c>
      <c r="K190" s="31">
        <f>ROUND(G190*AP190,2)</f>
        <v>0</v>
      </c>
      <c r="L190" s="31">
        <f>ROUND(G190*H190,2)</f>
        <v>0</v>
      </c>
      <c r="M190" s="31">
        <f>L190*(1+BW190/100)</f>
        <v>0</v>
      </c>
      <c r="N190" s="31">
        <v>0</v>
      </c>
      <c r="O190" s="31">
        <f>G190*N190</f>
        <v>0</v>
      </c>
      <c r="P190" s="33" t="s">
        <v>61</v>
      </c>
      <c r="Z190" s="31">
        <f>ROUND(IF(AQ190="5",BJ190,0),2)</f>
        <v>0</v>
      </c>
      <c r="AB190" s="31">
        <f>ROUND(IF(AQ190="1",BH190,0),2)</f>
        <v>0</v>
      </c>
      <c r="AC190" s="31">
        <f>ROUND(IF(AQ190="1",BI190,0),2)</f>
        <v>0</v>
      </c>
      <c r="AD190" s="31">
        <f>ROUND(IF(AQ190="7",BH190,0),2)</f>
        <v>0</v>
      </c>
      <c r="AE190" s="31">
        <f>ROUND(IF(AQ190="7",BI190,0),2)</f>
        <v>0</v>
      </c>
      <c r="AF190" s="31">
        <f>ROUND(IF(AQ190="2",BH190,0),2)</f>
        <v>0</v>
      </c>
      <c r="AG190" s="31">
        <f>ROUND(IF(AQ190="2",BI190,0),2)</f>
        <v>0</v>
      </c>
      <c r="AH190" s="31">
        <f>ROUND(IF(AQ190="0",BJ190,0),2)</f>
        <v>0</v>
      </c>
      <c r="AI190" s="12" t="s">
        <v>54</v>
      </c>
      <c r="AJ190" s="31">
        <f>IF(AN190=0,L190,0)</f>
        <v>0</v>
      </c>
      <c r="AK190" s="31">
        <f>IF(AN190=12,L190,0)</f>
        <v>0</v>
      </c>
      <c r="AL190" s="31">
        <f>IF(AN190=21,L190,0)</f>
        <v>0</v>
      </c>
      <c r="AN190" s="31">
        <v>21</v>
      </c>
      <c r="AO190" s="31">
        <f>H190*0</f>
        <v>0</v>
      </c>
      <c r="AP190" s="31">
        <f>H190*(1-0)</f>
        <v>0</v>
      </c>
      <c r="AQ190" s="34" t="s">
        <v>90</v>
      </c>
      <c r="AV190" s="31">
        <f>ROUND(AW190+AX190,2)</f>
        <v>0</v>
      </c>
      <c r="AW190" s="31">
        <f>ROUND(G190*AO190,2)</f>
        <v>0</v>
      </c>
      <c r="AX190" s="31">
        <f>ROUND(G190*AP190,2)</f>
        <v>0</v>
      </c>
      <c r="AY190" s="34" t="s">
        <v>284</v>
      </c>
      <c r="AZ190" s="34" t="s">
        <v>180</v>
      </c>
      <c r="BA190" s="12" t="s">
        <v>64</v>
      </c>
      <c r="BC190" s="31">
        <f>AW190+AX190</f>
        <v>0</v>
      </c>
      <c r="BD190" s="31">
        <f>H190/(100-BE190)*100</f>
        <v>0</v>
      </c>
      <c r="BE190" s="31">
        <v>0</v>
      </c>
      <c r="BF190" s="31">
        <f>O190</f>
        <v>0</v>
      </c>
      <c r="BH190" s="31">
        <f>G190*AO190</f>
        <v>0</v>
      </c>
      <c r="BI190" s="31">
        <f>G190*AP190</f>
        <v>0</v>
      </c>
      <c r="BJ190" s="31">
        <f>G190*H190</f>
        <v>0</v>
      </c>
      <c r="BK190" s="34" t="s">
        <v>65</v>
      </c>
      <c r="BL190" s="31"/>
      <c r="BW190" s="31">
        <f>I190</f>
        <v>21</v>
      </c>
      <c r="BX190" s="4" t="s">
        <v>308</v>
      </c>
    </row>
    <row r="191" spans="1:76">
      <c r="A191" s="35"/>
      <c r="D191" s="153" t="s">
        <v>300</v>
      </c>
      <c r="E191" s="153" t="s">
        <v>54</v>
      </c>
      <c r="F191" s="154"/>
      <c r="G191" s="155">
        <v>6.4909999999999995E-2</v>
      </c>
      <c r="P191" s="38"/>
    </row>
    <row r="192" spans="1:76">
      <c r="A192" s="35"/>
      <c r="D192" s="153" t="s">
        <v>301</v>
      </c>
      <c r="E192" s="153" t="s">
        <v>54</v>
      </c>
      <c r="F192" s="154"/>
      <c r="G192" s="155">
        <v>50.914999999999999</v>
      </c>
      <c r="P192" s="38"/>
    </row>
    <row r="193" spans="1:76">
      <c r="A193" s="39" t="s">
        <v>54</v>
      </c>
      <c r="B193" s="40" t="s">
        <v>54</v>
      </c>
      <c r="C193" s="40" t="s">
        <v>309</v>
      </c>
      <c r="D193" s="246" t="s">
        <v>310</v>
      </c>
      <c r="E193" s="247"/>
      <c r="F193" s="41" t="s">
        <v>4</v>
      </c>
      <c r="G193" s="41" t="s">
        <v>4</v>
      </c>
      <c r="H193" s="41" t="s">
        <v>4</v>
      </c>
      <c r="I193" s="41" t="s">
        <v>4</v>
      </c>
      <c r="J193" s="1">
        <f>SUM(J194:J206)</f>
        <v>0</v>
      </c>
      <c r="K193" s="1">
        <f>SUM(K194:K206)</f>
        <v>0</v>
      </c>
      <c r="L193" s="1">
        <f>SUM(L194:L206)</f>
        <v>0</v>
      </c>
      <c r="M193" s="1">
        <f>SUM(M194:M206)</f>
        <v>0</v>
      </c>
      <c r="N193" s="12" t="s">
        <v>54</v>
      </c>
      <c r="O193" s="1">
        <f>SUM(O194:O206)</f>
        <v>51.096910000000001</v>
      </c>
      <c r="P193" s="42" t="s">
        <v>54</v>
      </c>
      <c r="AI193" s="12" t="s">
        <v>54</v>
      </c>
      <c r="AS193" s="1">
        <f>SUM(AJ194:AJ206)</f>
        <v>0</v>
      </c>
      <c r="AT193" s="1">
        <f>SUM(AK194:AK206)</f>
        <v>0</v>
      </c>
      <c r="AU193" s="1">
        <f>SUM(AL194:AL206)</f>
        <v>0</v>
      </c>
    </row>
    <row r="194" spans="1:76">
      <c r="A194" s="2">
        <f>A190+1</f>
        <v>70</v>
      </c>
      <c r="B194" s="3" t="s">
        <v>54</v>
      </c>
      <c r="C194" s="3" t="s">
        <v>311</v>
      </c>
      <c r="D194" s="199" t="s">
        <v>312</v>
      </c>
      <c r="E194" s="200"/>
      <c r="F194" s="87" t="s">
        <v>71</v>
      </c>
      <c r="G194" s="31">
        <v>203</v>
      </c>
      <c r="H194" s="31">
        <v>0</v>
      </c>
      <c r="I194" s="32">
        <v>21</v>
      </c>
      <c r="J194" s="31">
        <f>ROUND(G194*AO194,2)</f>
        <v>0</v>
      </c>
      <c r="K194" s="31">
        <f>ROUND(G194*AP194,2)</f>
        <v>0</v>
      </c>
      <c r="L194" s="31">
        <f>ROUND(G194*H194,2)</f>
        <v>0</v>
      </c>
      <c r="M194" s="31">
        <f>L194*(1+BW194/100)</f>
        <v>0</v>
      </c>
      <c r="N194" s="31">
        <v>0.25</v>
      </c>
      <c r="O194" s="31">
        <f>G194*N194</f>
        <v>50.75</v>
      </c>
      <c r="P194" s="33" t="s">
        <v>61</v>
      </c>
      <c r="Z194" s="31">
        <f>ROUND(IF(AQ194="5",BJ194,0),2)</f>
        <v>0</v>
      </c>
      <c r="AB194" s="31">
        <f>ROUND(IF(AQ194="1",BH194,0),2)</f>
        <v>0</v>
      </c>
      <c r="AC194" s="31">
        <f>ROUND(IF(AQ194="1",BI194,0),2)</f>
        <v>0</v>
      </c>
      <c r="AD194" s="31">
        <f>ROUND(IF(AQ194="7",BH194,0),2)</f>
        <v>0</v>
      </c>
      <c r="AE194" s="31">
        <f>ROUND(IF(AQ194="7",BI194,0),2)</f>
        <v>0</v>
      </c>
      <c r="AF194" s="31">
        <f>ROUND(IF(AQ194="2",BH194,0),2)</f>
        <v>0</v>
      </c>
      <c r="AG194" s="31">
        <f>ROUND(IF(AQ194="2",BI194,0),2)</f>
        <v>0</v>
      </c>
      <c r="AH194" s="31">
        <f>ROUND(IF(AQ194="0",BJ194,0),2)</f>
        <v>0</v>
      </c>
      <c r="AI194" s="12" t="s">
        <v>54</v>
      </c>
      <c r="AJ194" s="31">
        <f>IF(AN194=0,L194,0)</f>
        <v>0</v>
      </c>
      <c r="AK194" s="31">
        <f>IF(AN194=12,L194,0)</f>
        <v>0</v>
      </c>
      <c r="AL194" s="31">
        <f>IF(AN194=21,L194,0)</f>
        <v>0</v>
      </c>
      <c r="AN194" s="31">
        <v>21</v>
      </c>
      <c r="AO194" s="31">
        <f>H194*0</f>
        <v>0</v>
      </c>
      <c r="AP194" s="31">
        <f>H194*(1-0)</f>
        <v>0</v>
      </c>
      <c r="AQ194" s="34" t="s">
        <v>68</v>
      </c>
      <c r="AV194" s="31">
        <f>ROUND(AW194+AX194,2)</f>
        <v>0</v>
      </c>
      <c r="AW194" s="31">
        <f>ROUND(G194*AO194,2)</f>
        <v>0</v>
      </c>
      <c r="AX194" s="31">
        <f>ROUND(G194*AP194,2)</f>
        <v>0</v>
      </c>
      <c r="AY194" s="34" t="s">
        <v>313</v>
      </c>
      <c r="AZ194" s="34" t="s">
        <v>180</v>
      </c>
      <c r="BA194" s="12" t="s">
        <v>64</v>
      </c>
      <c r="BC194" s="31">
        <f>AW194+AX194</f>
        <v>0</v>
      </c>
      <c r="BD194" s="31">
        <f>H194/(100-BE194)*100</f>
        <v>0</v>
      </c>
      <c r="BE194" s="31">
        <v>0</v>
      </c>
      <c r="BF194" s="31">
        <f>O194</f>
        <v>50.75</v>
      </c>
      <c r="BH194" s="31">
        <f>G194*AO194</f>
        <v>0</v>
      </c>
      <c r="BI194" s="31">
        <f>G194*AP194</f>
        <v>0</v>
      </c>
      <c r="BJ194" s="31">
        <f>G194*H194</f>
        <v>0</v>
      </c>
      <c r="BK194" s="34" t="s">
        <v>65</v>
      </c>
      <c r="BL194" s="31"/>
      <c r="BW194" s="31">
        <f>I194</f>
        <v>21</v>
      </c>
      <c r="BX194" s="4" t="s">
        <v>312</v>
      </c>
    </row>
    <row r="195" spans="1:76">
      <c r="A195" s="35"/>
      <c r="D195" s="128" t="s">
        <v>314</v>
      </c>
      <c r="E195" s="36" t="s">
        <v>54</v>
      </c>
      <c r="F195" s="150"/>
      <c r="G195" s="37">
        <v>203</v>
      </c>
      <c r="P195" s="38"/>
    </row>
    <row r="196" spans="1:76">
      <c r="A196" s="86">
        <f>A194+1</f>
        <v>71</v>
      </c>
      <c r="B196" s="3" t="s">
        <v>54</v>
      </c>
      <c r="C196" s="3" t="s">
        <v>315</v>
      </c>
      <c r="D196" s="199" t="s">
        <v>316</v>
      </c>
      <c r="E196" s="200"/>
      <c r="F196" s="87" t="s">
        <v>71</v>
      </c>
      <c r="G196" s="31">
        <v>3</v>
      </c>
      <c r="H196" s="31">
        <v>0</v>
      </c>
      <c r="I196" s="32">
        <v>21</v>
      </c>
      <c r="J196" s="31">
        <f>ROUND(G196*AO196,2)</f>
        <v>0</v>
      </c>
      <c r="K196" s="31">
        <f>ROUND(G196*AP196,2)</f>
        <v>0</v>
      </c>
      <c r="L196" s="31">
        <f>ROUND(G196*H196,2)</f>
        <v>0</v>
      </c>
      <c r="M196" s="31">
        <f>L196*(1+BW196/100)</f>
        <v>0</v>
      </c>
      <c r="N196" s="31">
        <v>5.5E-2</v>
      </c>
      <c r="O196" s="31">
        <f>G196*N196</f>
        <v>0.16500000000000001</v>
      </c>
      <c r="P196" s="33" t="s">
        <v>61</v>
      </c>
      <c r="Z196" s="31">
        <f>ROUND(IF(AQ196="5",BJ196,0),2)</f>
        <v>0</v>
      </c>
      <c r="AB196" s="31">
        <f>ROUND(IF(AQ196="1",BH196,0),2)</f>
        <v>0</v>
      </c>
      <c r="AC196" s="31">
        <f>ROUND(IF(AQ196="1",BI196,0),2)</f>
        <v>0</v>
      </c>
      <c r="AD196" s="31">
        <f>ROUND(IF(AQ196="7",BH196,0),2)</f>
        <v>0</v>
      </c>
      <c r="AE196" s="31">
        <f>ROUND(IF(AQ196="7",BI196,0),2)</f>
        <v>0</v>
      </c>
      <c r="AF196" s="31">
        <f>ROUND(IF(AQ196="2",BH196,0),2)</f>
        <v>0</v>
      </c>
      <c r="AG196" s="31">
        <f>ROUND(IF(AQ196="2",BI196,0),2)</f>
        <v>0</v>
      </c>
      <c r="AH196" s="31">
        <f>ROUND(IF(AQ196="0",BJ196,0),2)</f>
        <v>0</v>
      </c>
      <c r="AI196" s="12" t="s">
        <v>54</v>
      </c>
      <c r="AJ196" s="31">
        <f>IF(AN196=0,L196,0)</f>
        <v>0</v>
      </c>
      <c r="AK196" s="31">
        <f>IF(AN196=12,L196,0)</f>
        <v>0</v>
      </c>
      <c r="AL196" s="31">
        <f>IF(AN196=21,L196,0)</f>
        <v>0</v>
      </c>
      <c r="AN196" s="31">
        <v>21</v>
      </c>
      <c r="AO196" s="31">
        <f>H196*0</f>
        <v>0</v>
      </c>
      <c r="AP196" s="31">
        <f>H196*(1-0)</f>
        <v>0</v>
      </c>
      <c r="AQ196" s="34" t="s">
        <v>68</v>
      </c>
      <c r="AV196" s="31">
        <f>ROUND(AW196+AX196,2)</f>
        <v>0</v>
      </c>
      <c r="AW196" s="31">
        <f>ROUND(G196*AO196,2)</f>
        <v>0</v>
      </c>
      <c r="AX196" s="31">
        <f>ROUND(G196*AP196,2)</f>
        <v>0</v>
      </c>
      <c r="AY196" s="34" t="s">
        <v>313</v>
      </c>
      <c r="AZ196" s="34" t="s">
        <v>180</v>
      </c>
      <c r="BA196" s="12" t="s">
        <v>64</v>
      </c>
      <c r="BC196" s="31">
        <f>AW196+AX196</f>
        <v>0</v>
      </c>
      <c r="BD196" s="31">
        <f>H196/(100-BE196)*100</f>
        <v>0</v>
      </c>
      <c r="BE196" s="31">
        <v>0</v>
      </c>
      <c r="BF196" s="31">
        <f>O196</f>
        <v>0.16500000000000001</v>
      </c>
      <c r="BH196" s="31">
        <f>G196*AO196</f>
        <v>0</v>
      </c>
      <c r="BI196" s="31">
        <f>G196*AP196</f>
        <v>0</v>
      </c>
      <c r="BJ196" s="31">
        <f>G196*H196</f>
        <v>0</v>
      </c>
      <c r="BK196" s="34" t="s">
        <v>65</v>
      </c>
      <c r="BL196" s="31"/>
      <c r="BW196" s="31">
        <f>I196</f>
        <v>21</v>
      </c>
      <c r="BX196" s="4" t="s">
        <v>316</v>
      </c>
    </row>
    <row r="197" spans="1:76">
      <c r="A197" s="35"/>
      <c r="D197" s="128" t="s">
        <v>456</v>
      </c>
      <c r="E197" s="36" t="s">
        <v>54</v>
      </c>
      <c r="F197" s="150"/>
      <c r="G197" s="37">
        <v>3</v>
      </c>
      <c r="P197" s="38"/>
    </row>
    <row r="198" spans="1:76">
      <c r="A198" s="86">
        <f>A196+1</f>
        <v>72</v>
      </c>
      <c r="B198" s="3" t="s">
        <v>54</v>
      </c>
      <c r="C198" s="3" t="s">
        <v>317</v>
      </c>
      <c r="D198" s="199" t="s">
        <v>318</v>
      </c>
      <c r="E198" s="200"/>
      <c r="F198" s="87" t="s">
        <v>71</v>
      </c>
      <c r="G198" s="31">
        <v>3</v>
      </c>
      <c r="H198" s="31">
        <v>0</v>
      </c>
      <c r="I198" s="32">
        <v>21</v>
      </c>
      <c r="J198" s="31">
        <f>ROUND(G198*AO198,2)</f>
        <v>0</v>
      </c>
      <c r="K198" s="31">
        <f>ROUND(G198*AP198,2)</f>
        <v>0</v>
      </c>
      <c r="L198" s="31">
        <f>ROUND(G198*H198,2)</f>
        <v>0</v>
      </c>
      <c r="M198" s="31">
        <f>L198*(1+BW198/100)</f>
        <v>0</v>
      </c>
      <c r="N198" s="31">
        <v>2.053E-2</v>
      </c>
      <c r="O198" s="31">
        <f>G198*N198</f>
        <v>6.1589999999999999E-2</v>
      </c>
      <c r="P198" s="33" t="s">
        <v>61</v>
      </c>
      <c r="Z198" s="31">
        <f>ROUND(IF(AQ198="5",BJ198,0),2)</f>
        <v>0</v>
      </c>
      <c r="AB198" s="31">
        <f>ROUND(IF(AQ198="1",BH198,0),2)</f>
        <v>0</v>
      </c>
      <c r="AC198" s="31">
        <f>ROUND(IF(AQ198="1",BI198,0),2)</f>
        <v>0</v>
      </c>
      <c r="AD198" s="31">
        <f>ROUND(IF(AQ198="7",BH198,0),2)</f>
        <v>0</v>
      </c>
      <c r="AE198" s="31">
        <f>ROUND(IF(AQ198="7",BI198,0),2)</f>
        <v>0</v>
      </c>
      <c r="AF198" s="31">
        <f>ROUND(IF(AQ198="2",BH198,0),2)</f>
        <v>0</v>
      </c>
      <c r="AG198" s="31">
        <f>ROUND(IF(AQ198="2",BI198,0),2)</f>
        <v>0</v>
      </c>
      <c r="AH198" s="31">
        <f>ROUND(IF(AQ198="0",BJ198,0),2)</f>
        <v>0</v>
      </c>
      <c r="AI198" s="12" t="s">
        <v>54</v>
      </c>
      <c r="AJ198" s="31">
        <f>IF(AN198=0,L198,0)</f>
        <v>0</v>
      </c>
      <c r="AK198" s="31">
        <f>IF(AN198=12,L198,0)</f>
        <v>0</v>
      </c>
      <c r="AL198" s="31">
        <f>IF(AN198=21,L198,0)</f>
        <v>0</v>
      </c>
      <c r="AN198" s="31">
        <v>21</v>
      </c>
      <c r="AO198" s="31">
        <f>H198*0</f>
        <v>0</v>
      </c>
      <c r="AP198" s="31">
        <f>H198*(1-0)</f>
        <v>0</v>
      </c>
      <c r="AQ198" s="34" t="s">
        <v>68</v>
      </c>
      <c r="AV198" s="31">
        <f>ROUND(AW198+AX198,2)</f>
        <v>0</v>
      </c>
      <c r="AW198" s="31">
        <f>ROUND(G198*AO198,2)</f>
        <v>0</v>
      </c>
      <c r="AX198" s="31">
        <f>ROUND(G198*AP198,2)</f>
        <v>0</v>
      </c>
      <c r="AY198" s="34" t="s">
        <v>313</v>
      </c>
      <c r="AZ198" s="34" t="s">
        <v>180</v>
      </c>
      <c r="BA198" s="12" t="s">
        <v>64</v>
      </c>
      <c r="BC198" s="31">
        <f>AW198+AX198</f>
        <v>0</v>
      </c>
      <c r="BD198" s="31">
        <f>H198/(100-BE198)*100</f>
        <v>0</v>
      </c>
      <c r="BE198" s="31">
        <v>0</v>
      </c>
      <c r="BF198" s="31">
        <f>O198</f>
        <v>6.1589999999999999E-2</v>
      </c>
      <c r="BH198" s="31">
        <f>G198*AO198</f>
        <v>0</v>
      </c>
      <c r="BI198" s="31">
        <f>G198*AP198</f>
        <v>0</v>
      </c>
      <c r="BJ198" s="31">
        <f>G198*H198</f>
        <v>0</v>
      </c>
      <c r="BK198" s="34" t="s">
        <v>65</v>
      </c>
      <c r="BL198" s="31"/>
      <c r="BW198" s="31">
        <f>I198</f>
        <v>21</v>
      </c>
      <c r="BX198" s="4" t="s">
        <v>318</v>
      </c>
    </row>
    <row r="199" spans="1:76">
      <c r="A199" s="35"/>
      <c r="D199" s="36" t="s">
        <v>319</v>
      </c>
      <c r="E199" s="36" t="s">
        <v>54</v>
      </c>
      <c r="F199" s="150"/>
      <c r="G199" s="37">
        <v>3</v>
      </c>
      <c r="P199" s="38"/>
    </row>
    <row r="200" spans="1:76">
      <c r="A200" s="86">
        <f>A198+1</f>
        <v>73</v>
      </c>
      <c r="B200" s="3" t="s">
        <v>54</v>
      </c>
      <c r="C200" s="3" t="s">
        <v>320</v>
      </c>
      <c r="D200" s="238" t="s">
        <v>457</v>
      </c>
      <c r="E200" s="200"/>
      <c r="F200" s="87" t="s">
        <v>71</v>
      </c>
      <c r="G200" s="31">
        <v>1</v>
      </c>
      <c r="H200" s="31">
        <v>0</v>
      </c>
      <c r="I200" s="32">
        <v>21</v>
      </c>
      <c r="J200" s="31">
        <f>ROUND(G200*AO200,2)</f>
        <v>0</v>
      </c>
      <c r="K200" s="31">
        <f>ROUND(G200*AP200,2)</f>
        <v>0</v>
      </c>
      <c r="L200" s="31">
        <f>ROUND(G200*H200,2)</f>
        <v>0</v>
      </c>
      <c r="M200" s="31">
        <f>L200*(1+BW200/100)</f>
        <v>0</v>
      </c>
      <c r="N200" s="31">
        <v>3.32E-3</v>
      </c>
      <c r="O200" s="31">
        <f>G200*N200</f>
        <v>3.32E-3</v>
      </c>
      <c r="P200" s="33" t="s">
        <v>61</v>
      </c>
      <c r="Z200" s="31">
        <f>ROUND(IF(AQ200="5",BJ200,0),2)</f>
        <v>0</v>
      </c>
      <c r="AB200" s="31">
        <f>ROUND(IF(AQ200="1",BH200,0),2)</f>
        <v>0</v>
      </c>
      <c r="AC200" s="31">
        <f>ROUND(IF(AQ200="1",BI200,0),2)</f>
        <v>0</v>
      </c>
      <c r="AD200" s="31">
        <f>ROUND(IF(AQ200="7",BH200,0),2)</f>
        <v>0</v>
      </c>
      <c r="AE200" s="31">
        <f>ROUND(IF(AQ200="7",BI200,0),2)</f>
        <v>0</v>
      </c>
      <c r="AF200" s="31">
        <f>ROUND(IF(AQ200="2",BH200,0),2)</f>
        <v>0</v>
      </c>
      <c r="AG200" s="31">
        <f>ROUND(IF(AQ200="2",BI200,0),2)</f>
        <v>0</v>
      </c>
      <c r="AH200" s="31">
        <f>ROUND(IF(AQ200="0",BJ200,0),2)</f>
        <v>0</v>
      </c>
      <c r="AI200" s="12" t="s">
        <v>54</v>
      </c>
      <c r="AJ200" s="31">
        <f>IF(AN200=0,L200,0)</f>
        <v>0</v>
      </c>
      <c r="AK200" s="31">
        <f>IF(AN200=12,L200,0)</f>
        <v>0</v>
      </c>
      <c r="AL200" s="31">
        <f>IF(AN200=21,L200,0)</f>
        <v>0</v>
      </c>
      <c r="AN200" s="31">
        <v>21</v>
      </c>
      <c r="AO200" s="31">
        <f>H200*0</f>
        <v>0</v>
      </c>
      <c r="AP200" s="31">
        <f>H200*(1-0)</f>
        <v>0</v>
      </c>
      <c r="AQ200" s="34" t="s">
        <v>68</v>
      </c>
      <c r="AV200" s="31">
        <f>ROUND(AW200+AX200,2)</f>
        <v>0</v>
      </c>
      <c r="AW200" s="31">
        <f>ROUND(G200*AO200,2)</f>
        <v>0</v>
      </c>
      <c r="AX200" s="31">
        <f>ROUND(G200*AP200,2)</f>
        <v>0</v>
      </c>
      <c r="AY200" s="34" t="s">
        <v>313</v>
      </c>
      <c r="AZ200" s="34" t="s">
        <v>180</v>
      </c>
      <c r="BA200" s="12" t="s">
        <v>64</v>
      </c>
      <c r="BC200" s="31">
        <f>AW200+AX200</f>
        <v>0</v>
      </c>
      <c r="BD200" s="31">
        <f>H200/(100-BE200)*100</f>
        <v>0</v>
      </c>
      <c r="BE200" s="31">
        <v>0</v>
      </c>
      <c r="BF200" s="31">
        <f>O200</f>
        <v>3.32E-3</v>
      </c>
      <c r="BH200" s="31">
        <f>G200*AO200</f>
        <v>0</v>
      </c>
      <c r="BI200" s="31">
        <f>G200*AP200</f>
        <v>0</v>
      </c>
      <c r="BJ200" s="31">
        <f>G200*H200</f>
        <v>0</v>
      </c>
      <c r="BK200" s="34" t="s">
        <v>65</v>
      </c>
      <c r="BL200" s="31"/>
      <c r="BW200" s="31">
        <f>I200</f>
        <v>21</v>
      </c>
      <c r="BX200" s="4" t="s">
        <v>321</v>
      </c>
    </row>
    <row r="201" spans="1:76">
      <c r="A201" s="35"/>
      <c r="D201" s="36" t="s">
        <v>322</v>
      </c>
      <c r="E201" s="36" t="s">
        <v>54</v>
      </c>
      <c r="F201" s="150"/>
      <c r="G201" s="37">
        <v>1</v>
      </c>
      <c r="P201" s="38"/>
    </row>
    <row r="202" spans="1:76">
      <c r="A202" s="86">
        <f>A200+1</f>
        <v>74</v>
      </c>
      <c r="B202" s="3" t="s">
        <v>54</v>
      </c>
      <c r="C202" s="3" t="s">
        <v>323</v>
      </c>
      <c r="D202" s="199" t="s">
        <v>324</v>
      </c>
      <c r="E202" s="200"/>
      <c r="F202" s="87" t="s">
        <v>71</v>
      </c>
      <c r="G202" s="31">
        <v>1</v>
      </c>
      <c r="H202" s="31">
        <v>0</v>
      </c>
      <c r="I202" s="32">
        <v>21</v>
      </c>
      <c r="J202" s="31">
        <f>ROUND(G202*AO202,2)</f>
        <v>0</v>
      </c>
      <c r="K202" s="31">
        <f>ROUND(G202*AP202,2)</f>
        <v>0</v>
      </c>
      <c r="L202" s="31">
        <f>ROUND(G202*H202,2)</f>
        <v>0</v>
      </c>
      <c r="M202" s="31">
        <f>L202*(1+BW202/100)</f>
        <v>0</v>
      </c>
      <c r="N202" s="31">
        <v>0.06</v>
      </c>
      <c r="O202" s="31">
        <f>G202*N202</f>
        <v>0.06</v>
      </c>
      <c r="P202" s="33" t="s">
        <v>61</v>
      </c>
      <c r="Z202" s="31">
        <f>ROUND(IF(AQ202="5",BJ202,0),2)</f>
        <v>0</v>
      </c>
      <c r="AB202" s="31">
        <f>ROUND(IF(AQ202="1",BH202,0),2)</f>
        <v>0</v>
      </c>
      <c r="AC202" s="31">
        <f>ROUND(IF(AQ202="1",BI202,0),2)</f>
        <v>0</v>
      </c>
      <c r="AD202" s="31">
        <f>ROUND(IF(AQ202="7",BH202,0),2)</f>
        <v>0</v>
      </c>
      <c r="AE202" s="31">
        <f>ROUND(IF(AQ202="7",BI202,0),2)</f>
        <v>0</v>
      </c>
      <c r="AF202" s="31">
        <f>ROUND(IF(AQ202="2",BH202,0),2)</f>
        <v>0</v>
      </c>
      <c r="AG202" s="31">
        <f>ROUND(IF(AQ202="2",BI202,0),2)</f>
        <v>0</v>
      </c>
      <c r="AH202" s="31">
        <f>ROUND(IF(AQ202="0",BJ202,0),2)</f>
        <v>0</v>
      </c>
      <c r="AI202" s="12" t="s">
        <v>54</v>
      </c>
      <c r="AJ202" s="31">
        <f>IF(AN202=0,L202,0)</f>
        <v>0</v>
      </c>
      <c r="AK202" s="31">
        <f>IF(AN202=12,L202,0)</f>
        <v>0</v>
      </c>
      <c r="AL202" s="31">
        <f>IF(AN202=21,L202,0)</f>
        <v>0</v>
      </c>
      <c r="AN202" s="31">
        <v>21</v>
      </c>
      <c r="AO202" s="31">
        <f>H202*0</f>
        <v>0</v>
      </c>
      <c r="AP202" s="31">
        <f>H202*(1-0)</f>
        <v>0</v>
      </c>
      <c r="AQ202" s="34" t="s">
        <v>68</v>
      </c>
      <c r="AV202" s="31">
        <f>ROUND(AW202+AX202,2)</f>
        <v>0</v>
      </c>
      <c r="AW202" s="31">
        <f>ROUND(G202*AO202,2)</f>
        <v>0</v>
      </c>
      <c r="AX202" s="31">
        <f>ROUND(G202*AP202,2)</f>
        <v>0</v>
      </c>
      <c r="AY202" s="34" t="s">
        <v>313</v>
      </c>
      <c r="AZ202" s="34" t="s">
        <v>180</v>
      </c>
      <c r="BA202" s="12" t="s">
        <v>64</v>
      </c>
      <c r="BC202" s="31">
        <f>AW202+AX202</f>
        <v>0</v>
      </c>
      <c r="BD202" s="31">
        <f>H202/(100-BE202)*100</f>
        <v>0</v>
      </c>
      <c r="BE202" s="31">
        <v>0</v>
      </c>
      <c r="BF202" s="31">
        <f>O202</f>
        <v>0.06</v>
      </c>
      <c r="BH202" s="31">
        <f>G202*AO202</f>
        <v>0</v>
      </c>
      <c r="BI202" s="31">
        <f>G202*AP202</f>
        <v>0</v>
      </c>
      <c r="BJ202" s="31">
        <f>G202*H202</f>
        <v>0</v>
      </c>
      <c r="BK202" s="34" t="s">
        <v>65</v>
      </c>
      <c r="BL202" s="31"/>
      <c r="BW202" s="31">
        <f>I202</f>
        <v>21</v>
      </c>
      <c r="BX202" s="4" t="s">
        <v>324</v>
      </c>
    </row>
    <row r="203" spans="1:76">
      <c r="A203" s="35"/>
      <c r="D203" s="128" t="s">
        <v>439</v>
      </c>
      <c r="E203" s="36" t="s">
        <v>54</v>
      </c>
      <c r="F203" s="150"/>
      <c r="G203" s="37">
        <v>1</v>
      </c>
      <c r="P203" s="38"/>
    </row>
    <row r="204" spans="1:76">
      <c r="A204" s="86">
        <f>A202+1</f>
        <v>75</v>
      </c>
      <c r="B204" s="3" t="s">
        <v>54</v>
      </c>
      <c r="C204" s="3" t="s">
        <v>325</v>
      </c>
      <c r="D204" s="199" t="s">
        <v>326</v>
      </c>
      <c r="E204" s="200"/>
      <c r="F204" s="87" t="s">
        <v>109</v>
      </c>
      <c r="G204" s="31">
        <v>50</v>
      </c>
      <c r="H204" s="31">
        <v>0</v>
      </c>
      <c r="I204" s="32">
        <v>21</v>
      </c>
      <c r="J204" s="31">
        <f>ROUND(G204*AO204,2)</f>
        <v>0</v>
      </c>
      <c r="K204" s="31">
        <f>ROUND(G204*AP204,2)</f>
        <v>0</v>
      </c>
      <c r="L204" s="31">
        <f>ROUND(G204*H204,2)</f>
        <v>0</v>
      </c>
      <c r="M204" s="31">
        <f>L204*(1+BW204/100)</f>
        <v>0</v>
      </c>
      <c r="N204" s="31">
        <v>1.06E-3</v>
      </c>
      <c r="O204" s="31">
        <f>G204*N204</f>
        <v>5.2999999999999999E-2</v>
      </c>
      <c r="P204" s="33" t="s">
        <v>61</v>
      </c>
      <c r="Z204" s="31">
        <f>ROUND(IF(AQ204="5",BJ204,0),2)</f>
        <v>0</v>
      </c>
      <c r="AB204" s="31">
        <f>ROUND(IF(AQ204="1",BH204,0),2)</f>
        <v>0</v>
      </c>
      <c r="AC204" s="31">
        <f>ROUND(IF(AQ204="1",BI204,0),2)</f>
        <v>0</v>
      </c>
      <c r="AD204" s="31">
        <f>ROUND(IF(AQ204="7",BH204,0),2)</f>
        <v>0</v>
      </c>
      <c r="AE204" s="31">
        <f>ROUND(IF(AQ204="7",BI204,0),2)</f>
        <v>0</v>
      </c>
      <c r="AF204" s="31">
        <f>ROUND(IF(AQ204="2",BH204,0),2)</f>
        <v>0</v>
      </c>
      <c r="AG204" s="31">
        <f>ROUND(IF(AQ204="2",BI204,0),2)</f>
        <v>0</v>
      </c>
      <c r="AH204" s="31">
        <f>ROUND(IF(AQ204="0",BJ204,0),2)</f>
        <v>0</v>
      </c>
      <c r="AI204" s="12" t="s">
        <v>54</v>
      </c>
      <c r="AJ204" s="31">
        <f>IF(AN204=0,L204,0)</f>
        <v>0</v>
      </c>
      <c r="AK204" s="31">
        <f>IF(AN204=12,L204,0)</f>
        <v>0</v>
      </c>
      <c r="AL204" s="31">
        <f>IF(AN204=21,L204,0)</f>
        <v>0</v>
      </c>
      <c r="AN204" s="31">
        <v>21</v>
      </c>
      <c r="AO204" s="31">
        <f>H204*0.181339713</f>
        <v>0</v>
      </c>
      <c r="AP204" s="31">
        <f>H204*(1-0.181339713)</f>
        <v>0</v>
      </c>
      <c r="AQ204" s="34" t="s">
        <v>57</v>
      </c>
      <c r="AV204" s="31">
        <f>ROUND(AW204+AX204,2)</f>
        <v>0</v>
      </c>
      <c r="AW204" s="31">
        <f>ROUND(G204*AO204,2)</f>
        <v>0</v>
      </c>
      <c r="AX204" s="31">
        <f>ROUND(G204*AP204,2)</f>
        <v>0</v>
      </c>
      <c r="AY204" s="34" t="s">
        <v>313</v>
      </c>
      <c r="AZ204" s="34" t="s">
        <v>180</v>
      </c>
      <c r="BA204" s="12" t="s">
        <v>64</v>
      </c>
      <c r="BC204" s="31">
        <f>AW204+AX204</f>
        <v>0</v>
      </c>
      <c r="BD204" s="31">
        <f>H204/(100-BE204)*100</f>
        <v>0</v>
      </c>
      <c r="BE204" s="31">
        <v>0</v>
      </c>
      <c r="BF204" s="31">
        <f>O204</f>
        <v>5.2999999999999999E-2</v>
      </c>
      <c r="BH204" s="31">
        <f>G204*AO204</f>
        <v>0</v>
      </c>
      <c r="BI204" s="31">
        <f>G204*AP204</f>
        <v>0</v>
      </c>
      <c r="BJ204" s="31">
        <f>G204*H204</f>
        <v>0</v>
      </c>
      <c r="BK204" s="34" t="s">
        <v>65</v>
      </c>
      <c r="BL204" s="31"/>
      <c r="BW204" s="31">
        <f>I204</f>
        <v>21</v>
      </c>
      <c r="BX204" s="4" t="s">
        <v>326</v>
      </c>
    </row>
    <row r="205" spans="1:76">
      <c r="A205" s="35"/>
      <c r="D205" s="128" t="s">
        <v>464</v>
      </c>
      <c r="E205" s="36" t="s">
        <v>54</v>
      </c>
      <c r="F205" s="150"/>
      <c r="G205" s="37">
        <v>50</v>
      </c>
      <c r="P205" s="38"/>
    </row>
    <row r="206" spans="1:76">
      <c r="A206" s="86">
        <f>A204+1</f>
        <v>76</v>
      </c>
      <c r="B206" s="3" t="s">
        <v>54</v>
      </c>
      <c r="C206" s="3" t="s">
        <v>327</v>
      </c>
      <c r="D206" s="238" t="s">
        <v>458</v>
      </c>
      <c r="E206" s="200"/>
      <c r="F206" s="87" t="s">
        <v>71</v>
      </c>
      <c r="G206" s="31">
        <v>1</v>
      </c>
      <c r="H206" s="31">
        <v>0</v>
      </c>
      <c r="I206" s="32">
        <v>21</v>
      </c>
      <c r="J206" s="31">
        <f>ROUND(G206*AO206,2)</f>
        <v>0</v>
      </c>
      <c r="K206" s="31">
        <f>ROUND(G206*AP206,2)</f>
        <v>0</v>
      </c>
      <c r="L206" s="31">
        <f>ROUND(G206*H206,2)</f>
        <v>0</v>
      </c>
      <c r="M206" s="31">
        <f>L206*(1+BW206/100)</f>
        <v>0</v>
      </c>
      <c r="N206" s="31">
        <v>4.0000000000000001E-3</v>
      </c>
      <c r="O206" s="31">
        <f>G206*N206</f>
        <v>4.0000000000000001E-3</v>
      </c>
      <c r="P206" s="33" t="s">
        <v>61</v>
      </c>
      <c r="Z206" s="31">
        <f>ROUND(IF(AQ206="5",BJ206,0),2)</f>
        <v>0</v>
      </c>
      <c r="AB206" s="31">
        <f>ROUND(IF(AQ206="1",BH206,0),2)</f>
        <v>0</v>
      </c>
      <c r="AC206" s="31">
        <f>ROUND(IF(AQ206="1",BI206,0),2)</f>
        <v>0</v>
      </c>
      <c r="AD206" s="31">
        <f>ROUND(IF(AQ206="7",BH206,0),2)</f>
        <v>0</v>
      </c>
      <c r="AE206" s="31">
        <f>ROUND(IF(AQ206="7",BI206,0),2)</f>
        <v>0</v>
      </c>
      <c r="AF206" s="31">
        <f>ROUND(IF(AQ206="2",BH206,0),2)</f>
        <v>0</v>
      </c>
      <c r="AG206" s="31">
        <f>ROUND(IF(AQ206="2",BI206,0),2)</f>
        <v>0</v>
      </c>
      <c r="AH206" s="31">
        <f>ROUND(IF(AQ206="0",BJ206,0),2)</f>
        <v>0</v>
      </c>
      <c r="AI206" s="12" t="s">
        <v>54</v>
      </c>
      <c r="AJ206" s="31">
        <f>IF(AN206=0,L206,0)</f>
        <v>0</v>
      </c>
      <c r="AK206" s="31">
        <f>IF(AN206=12,L206,0)</f>
        <v>0</v>
      </c>
      <c r="AL206" s="31">
        <f>IF(AN206=21,L206,0)</f>
        <v>0</v>
      </c>
      <c r="AN206" s="31">
        <v>21</v>
      </c>
      <c r="AO206" s="31">
        <f>H206*0</f>
        <v>0</v>
      </c>
      <c r="AP206" s="31">
        <f>H206*(1-0)</f>
        <v>0</v>
      </c>
      <c r="AQ206" s="34" t="s">
        <v>57</v>
      </c>
      <c r="AV206" s="31">
        <f>ROUND(AW206+AX206,2)</f>
        <v>0</v>
      </c>
      <c r="AW206" s="31">
        <f>ROUND(G206*AO206,2)</f>
        <v>0</v>
      </c>
      <c r="AX206" s="31">
        <f>ROUND(G206*AP206,2)</f>
        <v>0</v>
      </c>
      <c r="AY206" s="34" t="s">
        <v>313</v>
      </c>
      <c r="AZ206" s="34" t="s">
        <v>180</v>
      </c>
      <c r="BA206" s="12" t="s">
        <v>64</v>
      </c>
      <c r="BC206" s="31">
        <f>AW206+AX206</f>
        <v>0</v>
      </c>
      <c r="BD206" s="31">
        <f>H206/(100-BE206)*100</f>
        <v>0</v>
      </c>
      <c r="BE206" s="31">
        <v>0</v>
      </c>
      <c r="BF206" s="31">
        <f>O206</f>
        <v>4.0000000000000001E-3</v>
      </c>
      <c r="BH206" s="31">
        <f>G206*AO206</f>
        <v>0</v>
      </c>
      <c r="BI206" s="31">
        <f>G206*AP206</f>
        <v>0</v>
      </c>
      <c r="BJ206" s="31">
        <f>G206*H206</f>
        <v>0</v>
      </c>
      <c r="BK206" s="34" t="s">
        <v>65</v>
      </c>
      <c r="BL206" s="31"/>
      <c r="BW206" s="31">
        <f>I206</f>
        <v>21</v>
      </c>
      <c r="BX206" s="4" t="s">
        <v>328</v>
      </c>
    </row>
    <row r="207" spans="1:76">
      <c r="A207" s="43"/>
      <c r="B207" s="44"/>
      <c r="C207" s="44"/>
      <c r="D207" s="45" t="s">
        <v>124</v>
      </c>
      <c r="E207" s="45" t="s">
        <v>54</v>
      </c>
      <c r="F207" s="44"/>
      <c r="G207" s="46">
        <v>1</v>
      </c>
      <c r="H207" s="44"/>
      <c r="I207" s="44"/>
      <c r="J207" s="44"/>
      <c r="K207" s="44"/>
      <c r="L207" s="44"/>
      <c r="M207" s="44"/>
      <c r="N207" s="44"/>
      <c r="O207" s="44"/>
      <c r="P207" s="47"/>
    </row>
    <row r="208" spans="1:76">
      <c r="J208" s="237" t="s">
        <v>329</v>
      </c>
      <c r="K208" s="237"/>
      <c r="L208" s="48">
        <f>ROUND(L12+L15+L19+L48+L58+L60+L75+L84+L89+L92+L103+L106+L109+L159+L193,2)</f>
        <v>0</v>
      </c>
      <c r="M208" s="48">
        <f>ROUND(M12+M15+M19+M48+M58+M60+M75+M84+M89+M92+M103+M106+M109+M159+M193,2)</f>
        <v>0</v>
      </c>
    </row>
    <row r="209" spans="1:16">
      <c r="A209" s="49" t="s">
        <v>330</v>
      </c>
    </row>
    <row r="210" spans="1:16" ht="12.75" customHeight="1">
      <c r="A210" s="199" t="s">
        <v>54</v>
      </c>
      <c r="B210" s="200"/>
      <c r="C210" s="200"/>
      <c r="D210" s="200"/>
      <c r="E210" s="200"/>
      <c r="F210" s="200"/>
      <c r="G210" s="200"/>
      <c r="H210" s="200"/>
      <c r="I210" s="200"/>
      <c r="J210" s="200"/>
      <c r="K210" s="200"/>
      <c r="L210" s="200"/>
      <c r="M210" s="200"/>
      <c r="N210" s="200"/>
      <c r="O210" s="200"/>
      <c r="P210" s="200"/>
    </row>
  </sheetData>
  <mergeCells count="122">
    <mergeCell ref="A210:P210"/>
    <mergeCell ref="D200:E200"/>
    <mergeCell ref="D202:E202"/>
    <mergeCell ref="D204:E204"/>
    <mergeCell ref="D206:E206"/>
    <mergeCell ref="J208:K208"/>
    <mergeCell ref="D190:E190"/>
    <mergeCell ref="D193:E193"/>
    <mergeCell ref="D194:E194"/>
    <mergeCell ref="D196:E196"/>
    <mergeCell ref="D198:E198"/>
    <mergeCell ref="D160:E160"/>
    <mergeCell ref="D167:E167"/>
    <mergeCell ref="D174:E174"/>
    <mergeCell ref="D181:E181"/>
    <mergeCell ref="D188:E188"/>
    <mergeCell ref="D154:E154"/>
    <mergeCell ref="D156:E156"/>
    <mergeCell ref="D157:E157"/>
    <mergeCell ref="D158:E158"/>
    <mergeCell ref="D159:E159"/>
    <mergeCell ref="D144:E144"/>
    <mergeCell ref="D146:E146"/>
    <mergeCell ref="D148:E148"/>
    <mergeCell ref="D150:E150"/>
    <mergeCell ref="D152:E152"/>
    <mergeCell ref="D128:E128"/>
    <mergeCell ref="D130:E130"/>
    <mergeCell ref="D132:E132"/>
    <mergeCell ref="D134:E134"/>
    <mergeCell ref="D141:E141"/>
    <mergeCell ref="D118:E118"/>
    <mergeCell ref="D120:E120"/>
    <mergeCell ref="D122:E122"/>
    <mergeCell ref="D124:E124"/>
    <mergeCell ref="D126:E126"/>
    <mergeCell ref="D109:E109"/>
    <mergeCell ref="D110:E110"/>
    <mergeCell ref="D112:E112"/>
    <mergeCell ref="D114:E114"/>
    <mergeCell ref="D116:E116"/>
    <mergeCell ref="D103:E103"/>
    <mergeCell ref="D104:E104"/>
    <mergeCell ref="D106:E106"/>
    <mergeCell ref="D107:E107"/>
    <mergeCell ref="D89:E89"/>
    <mergeCell ref="D90:E90"/>
    <mergeCell ref="D92:E92"/>
    <mergeCell ref="D99:E99"/>
    <mergeCell ref="D101:E101"/>
    <mergeCell ref="D82:E82"/>
    <mergeCell ref="D84:E84"/>
    <mergeCell ref="D85:E85"/>
    <mergeCell ref="D86:E86"/>
    <mergeCell ref="D87:E87"/>
    <mergeCell ref="D71:E71"/>
    <mergeCell ref="D74:E74"/>
    <mergeCell ref="D75:E75"/>
    <mergeCell ref="D76:E76"/>
    <mergeCell ref="D80:E80"/>
    <mergeCell ref="D61:E61"/>
    <mergeCell ref="D63:E63"/>
    <mergeCell ref="D65:E65"/>
    <mergeCell ref="D67:E67"/>
    <mergeCell ref="D69:E69"/>
    <mergeCell ref="D55:E55"/>
    <mergeCell ref="D57:E57"/>
    <mergeCell ref="D58:E58"/>
    <mergeCell ref="D59:E59"/>
    <mergeCell ref="D60:E60"/>
    <mergeCell ref="D47:E47"/>
    <mergeCell ref="D48:E48"/>
    <mergeCell ref="D49:E49"/>
    <mergeCell ref="D51:E51"/>
    <mergeCell ref="D53:E53"/>
    <mergeCell ref="D30:E30"/>
    <mergeCell ref="D35:E35"/>
    <mergeCell ref="D39:E39"/>
    <mergeCell ref="D41:E41"/>
    <mergeCell ref="D44:E44"/>
    <mergeCell ref="D16:E16"/>
    <mergeCell ref="D19:E19"/>
    <mergeCell ref="D20:E20"/>
    <mergeCell ref="D25:E25"/>
    <mergeCell ref="D11:E11"/>
    <mergeCell ref="J10:L10"/>
    <mergeCell ref="N10:O10"/>
    <mergeCell ref="D12:E12"/>
    <mergeCell ref="D13:E13"/>
    <mergeCell ref="J6:P7"/>
    <mergeCell ref="J8:P9"/>
    <mergeCell ref="D10:E10"/>
    <mergeCell ref="D8:E9"/>
    <mergeCell ref="H2:H3"/>
    <mergeCell ref="H4:H5"/>
    <mergeCell ref="H6:H7"/>
    <mergeCell ref="H8:H9"/>
    <mergeCell ref="D15:E15"/>
    <mergeCell ref="D88:E88"/>
    <mergeCell ref="D143:E143"/>
    <mergeCell ref="D73:E73"/>
    <mergeCell ref="D93:E93"/>
    <mergeCell ref="D95:E95"/>
    <mergeCell ref="D97:E97"/>
    <mergeCell ref="A1:P1"/>
    <mergeCell ref="A2:C3"/>
    <mergeCell ref="A4:C5"/>
    <mergeCell ref="A6:C7"/>
    <mergeCell ref="A8:C9"/>
    <mergeCell ref="F2:G3"/>
    <mergeCell ref="F4:G5"/>
    <mergeCell ref="F6:G7"/>
    <mergeCell ref="F8:G9"/>
    <mergeCell ref="I2:I3"/>
    <mergeCell ref="I4:I5"/>
    <mergeCell ref="I6:I7"/>
    <mergeCell ref="I8:I9"/>
    <mergeCell ref="D2:E3"/>
    <mergeCell ref="D4:E5"/>
    <mergeCell ref="D6:E7"/>
    <mergeCell ref="J2:P3"/>
    <mergeCell ref="J4:P5"/>
  </mergeCells>
  <printOptions horizontalCentered="1" gridLines="1"/>
  <pageMargins left="0.39370078740157483" right="0.39370078740157483" top="0.59055118110236227" bottom="0.59055118110236227" header="0" footer="0"/>
  <pageSetup scale="53" fitToHeight="10" orientation="landscape" r:id="rId1"/>
  <headerFoot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6"/>
  <sheetViews>
    <sheetView workbookViewId="0">
      <selection activeCell="H41" sqref="H41"/>
    </sheetView>
  </sheetViews>
  <sheetFormatPr defaultColWidth="12.140625" defaultRowHeight="15" customHeight="1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7.140625" customWidth="1"/>
    <col min="9" max="9" width="22.85546875" customWidth="1"/>
  </cols>
  <sheetData>
    <row r="1" spans="1:9" ht="54.75" customHeight="1">
      <c r="A1" s="157" t="s">
        <v>376</v>
      </c>
      <c r="B1" s="158"/>
      <c r="C1" s="158"/>
      <c r="D1" s="158"/>
      <c r="E1" s="158"/>
      <c r="F1" s="158"/>
      <c r="G1" s="158"/>
      <c r="H1" s="158"/>
      <c r="I1" s="158"/>
    </row>
    <row r="2" spans="1:9">
      <c r="A2" s="159" t="s">
        <v>1</v>
      </c>
      <c r="B2" s="160"/>
      <c r="C2" s="170" t="str">
        <f>'Stavební rozpočet'!D2</f>
        <v>K. Vary - Výměna GŘTV - Lázeňský most M 14 - Dočasné přeložení vřídelní vody DN 350</v>
      </c>
      <c r="D2" s="171"/>
      <c r="E2" s="164" t="s">
        <v>5</v>
      </c>
      <c r="F2" s="164" t="str">
        <f>'Stavební rozpočet'!J2</f>
        <v>SPLZaK, Lázeňská 2, 36001 Karlovy Vary</v>
      </c>
      <c r="G2" s="160"/>
      <c r="H2" s="164" t="s">
        <v>333</v>
      </c>
      <c r="I2" s="166" t="s">
        <v>54</v>
      </c>
    </row>
    <row r="3" spans="1:9" ht="25.5" customHeight="1">
      <c r="A3" s="161"/>
      <c r="B3" s="162"/>
      <c r="C3" s="172"/>
      <c r="D3" s="172"/>
      <c r="E3" s="162"/>
      <c r="F3" s="162"/>
      <c r="G3" s="162"/>
      <c r="H3" s="162"/>
      <c r="I3" s="167"/>
    </row>
    <row r="4" spans="1:9">
      <c r="A4" s="163" t="s">
        <v>7</v>
      </c>
      <c r="B4" s="162"/>
      <c r="C4" s="165" t="str">
        <f>'Stavební rozpočet'!D4</f>
        <v>PCN-2516-1</v>
      </c>
      <c r="D4" s="162"/>
      <c r="E4" s="165" t="s">
        <v>10</v>
      </c>
      <c r="F4" s="165" t="str">
        <f>'Stavební rozpočet'!J4</f>
        <v>ALFA-projekt, s.r.o., K Panelárně 172, 352 32 Otovice</v>
      </c>
      <c r="G4" s="162"/>
      <c r="H4" s="165" t="s">
        <v>333</v>
      </c>
      <c r="I4" s="167" t="s">
        <v>54</v>
      </c>
    </row>
    <row r="5" spans="1:9" ht="15" customHeight="1">
      <c r="A5" s="161"/>
      <c r="B5" s="162"/>
      <c r="C5" s="162"/>
      <c r="D5" s="162"/>
      <c r="E5" s="162"/>
      <c r="F5" s="162"/>
      <c r="G5" s="162"/>
      <c r="H5" s="162"/>
      <c r="I5" s="167"/>
    </row>
    <row r="6" spans="1:9">
      <c r="A6" s="163" t="s">
        <v>11</v>
      </c>
      <c r="B6" s="162"/>
      <c r="C6" s="165" t="str">
        <f>'Stavební rozpočet'!D6</f>
        <v>K. Vary - Výměna gravitační řadu termominerální vody</v>
      </c>
      <c r="D6" s="162"/>
      <c r="E6" s="165" t="s">
        <v>14</v>
      </c>
      <c r="F6" s="165" t="str">
        <f>'Stavební rozpočet'!J6</f>
        <v> </v>
      </c>
      <c r="G6" s="162"/>
      <c r="H6" s="165" t="s">
        <v>333</v>
      </c>
      <c r="I6" s="167" t="s">
        <v>54</v>
      </c>
    </row>
    <row r="7" spans="1:9" ht="15" customHeight="1">
      <c r="A7" s="161"/>
      <c r="B7" s="162"/>
      <c r="C7" s="162"/>
      <c r="D7" s="162"/>
      <c r="E7" s="162"/>
      <c r="F7" s="162"/>
      <c r="G7" s="162"/>
      <c r="H7" s="162"/>
      <c r="I7" s="167"/>
    </row>
    <row r="8" spans="1:9">
      <c r="A8" s="163" t="s">
        <v>9</v>
      </c>
      <c r="B8" s="162"/>
      <c r="C8" s="169">
        <f>'Stavební rozpočet'!H4</f>
        <v>45884</v>
      </c>
      <c r="D8" s="169"/>
      <c r="E8" s="165" t="s">
        <v>13</v>
      </c>
      <c r="F8" s="169">
        <f>'Stavební rozpočet'!H6</f>
        <v>45930</v>
      </c>
      <c r="G8" s="169"/>
      <c r="H8" s="162" t="s">
        <v>334</v>
      </c>
      <c r="I8" s="168">
        <f>MAX('Stavební rozpočet'!A:A)</f>
        <v>76</v>
      </c>
    </row>
    <row r="9" spans="1:9">
      <c r="A9" s="161"/>
      <c r="B9" s="162"/>
      <c r="C9" s="162"/>
      <c r="D9" s="162"/>
      <c r="E9" s="162"/>
      <c r="F9" s="162"/>
      <c r="G9" s="162"/>
      <c r="H9" s="162"/>
      <c r="I9" s="167"/>
    </row>
    <row r="10" spans="1:9">
      <c r="A10" s="163" t="s">
        <v>16</v>
      </c>
      <c r="B10" s="162"/>
      <c r="C10" s="165" t="str">
        <f>'Stavební rozpočet'!D8</f>
        <v>827</v>
      </c>
      <c r="D10" s="162"/>
      <c r="E10" s="165" t="s">
        <v>19</v>
      </c>
      <c r="F10" s="165" t="str">
        <f>'Stavební rozpočet'!J8</f>
        <v>ALFA-projekt, s.r.o., K Panelárně 172, 352 32 Otovice</v>
      </c>
      <c r="G10" s="162"/>
      <c r="H10" s="162" t="s">
        <v>335</v>
      </c>
      <c r="I10" s="174">
        <f>'Stavební rozpočet'!H8</f>
        <v>45842</v>
      </c>
    </row>
    <row r="11" spans="1:9">
      <c r="A11" s="179"/>
      <c r="B11" s="173"/>
      <c r="C11" s="173"/>
      <c r="D11" s="173"/>
      <c r="E11" s="173"/>
      <c r="F11" s="173"/>
      <c r="G11" s="173"/>
      <c r="H11" s="173"/>
      <c r="I11" s="175"/>
    </row>
    <row r="13" spans="1:9" ht="15.75">
      <c r="A13" s="253" t="s">
        <v>377</v>
      </c>
      <c r="B13" s="253"/>
      <c r="C13" s="253"/>
      <c r="D13" s="253"/>
      <c r="E13" s="253"/>
    </row>
    <row r="14" spans="1:9">
      <c r="A14" s="254" t="s">
        <v>378</v>
      </c>
      <c r="B14" s="255"/>
      <c r="C14" s="255"/>
      <c r="D14" s="255"/>
      <c r="E14" s="256"/>
      <c r="F14" s="78" t="s">
        <v>379</v>
      </c>
      <c r="G14" s="78" t="s">
        <v>112</v>
      </c>
      <c r="H14" s="78" t="s">
        <v>380</v>
      </c>
      <c r="I14" s="78" t="s">
        <v>379</v>
      </c>
    </row>
    <row r="15" spans="1:9">
      <c r="A15" s="257" t="s">
        <v>345</v>
      </c>
      <c r="B15" s="258"/>
      <c r="C15" s="258"/>
      <c r="D15" s="258"/>
      <c r="E15" s="259"/>
      <c r="F15" s="79">
        <v>0</v>
      </c>
      <c r="G15" s="80" t="s">
        <v>54</v>
      </c>
      <c r="H15" s="80" t="s">
        <v>54</v>
      </c>
      <c r="I15" s="79">
        <f>F15</f>
        <v>0</v>
      </c>
    </row>
    <row r="16" spans="1:9">
      <c r="A16" s="257" t="s">
        <v>347</v>
      </c>
      <c r="B16" s="258"/>
      <c r="C16" s="258"/>
      <c r="D16" s="258"/>
      <c r="E16" s="259"/>
      <c r="F16" s="79">
        <v>0</v>
      </c>
      <c r="G16" s="80" t="s">
        <v>54</v>
      </c>
      <c r="H16" s="80" t="s">
        <v>54</v>
      </c>
      <c r="I16" s="79">
        <f>F16</f>
        <v>0</v>
      </c>
    </row>
    <row r="17" spans="1:9">
      <c r="A17" s="260" t="s">
        <v>350</v>
      </c>
      <c r="B17" s="162"/>
      <c r="C17" s="162"/>
      <c r="D17" s="162"/>
      <c r="E17" s="261"/>
      <c r="F17" s="81">
        <v>0</v>
      </c>
      <c r="G17" s="82" t="s">
        <v>54</v>
      </c>
      <c r="H17" s="82" t="s">
        <v>54</v>
      </c>
      <c r="I17" s="81">
        <f>F17</f>
        <v>0</v>
      </c>
    </row>
    <row r="18" spans="1:9">
      <c r="A18" s="262" t="s">
        <v>381</v>
      </c>
      <c r="B18" s="263"/>
      <c r="C18" s="263"/>
      <c r="D18" s="263"/>
      <c r="E18" s="264"/>
      <c r="F18" s="83" t="s">
        <v>54</v>
      </c>
      <c r="G18" s="84" t="s">
        <v>54</v>
      </c>
      <c r="H18" s="84" t="s">
        <v>54</v>
      </c>
      <c r="I18" s="85">
        <f>SUM(I15:I17)</f>
        <v>0</v>
      </c>
    </row>
    <row r="20" spans="1:9">
      <c r="A20" s="254" t="s">
        <v>342</v>
      </c>
      <c r="B20" s="255"/>
      <c r="C20" s="255"/>
      <c r="D20" s="255"/>
      <c r="E20" s="256"/>
      <c r="F20" s="78" t="s">
        <v>379</v>
      </c>
      <c r="G20" s="78" t="s">
        <v>112</v>
      </c>
      <c r="H20" s="78" t="s">
        <v>380</v>
      </c>
      <c r="I20" s="78" t="s">
        <v>379</v>
      </c>
    </row>
    <row r="21" spans="1:9">
      <c r="A21" s="257" t="s">
        <v>346</v>
      </c>
      <c r="B21" s="258"/>
      <c r="C21" s="258"/>
      <c r="D21" s="258"/>
      <c r="E21" s="259"/>
      <c r="F21" s="80" t="s">
        <v>54</v>
      </c>
      <c r="G21" s="79"/>
      <c r="H21" s="79"/>
      <c r="I21" s="79">
        <f>ROUND((G21/100)*H21,2)</f>
        <v>0</v>
      </c>
    </row>
    <row r="22" spans="1:9">
      <c r="A22" s="257" t="s">
        <v>348</v>
      </c>
      <c r="B22" s="258"/>
      <c r="C22" s="258"/>
      <c r="D22" s="258"/>
      <c r="E22" s="259"/>
      <c r="F22" s="79">
        <v>0</v>
      </c>
      <c r="G22" s="79" t="s">
        <v>54</v>
      </c>
      <c r="H22" s="80" t="s">
        <v>54</v>
      </c>
      <c r="I22" s="79">
        <v>0</v>
      </c>
    </row>
    <row r="23" spans="1:9">
      <c r="A23" s="257" t="s">
        <v>351</v>
      </c>
      <c r="B23" s="258"/>
      <c r="C23" s="258"/>
      <c r="D23" s="258"/>
      <c r="E23" s="259"/>
      <c r="F23" s="79">
        <v>0</v>
      </c>
      <c r="G23" s="79"/>
      <c r="H23" s="79"/>
      <c r="I23" s="79">
        <f t="shared" ref="I23:I24" si="0">ROUND((G23/100)*H23,2)</f>
        <v>0</v>
      </c>
    </row>
    <row r="24" spans="1:9">
      <c r="A24" s="257" t="s">
        <v>352</v>
      </c>
      <c r="B24" s="258"/>
      <c r="C24" s="258"/>
      <c r="D24" s="258"/>
      <c r="E24" s="259"/>
      <c r="F24" s="79">
        <v>0</v>
      </c>
      <c r="G24" s="79"/>
      <c r="H24" s="79"/>
      <c r="I24" s="79">
        <f t="shared" si="0"/>
        <v>0</v>
      </c>
    </row>
    <row r="25" spans="1:9">
      <c r="A25" s="257" t="s">
        <v>354</v>
      </c>
      <c r="B25" s="258"/>
      <c r="C25" s="258"/>
      <c r="D25" s="258"/>
      <c r="E25" s="259"/>
      <c r="F25" s="79">
        <v>0</v>
      </c>
      <c r="G25" s="79" t="s">
        <v>54</v>
      </c>
      <c r="H25" s="80" t="s">
        <v>54</v>
      </c>
      <c r="I25" s="79">
        <f>F25</f>
        <v>0</v>
      </c>
    </row>
    <row r="26" spans="1:9">
      <c r="A26" s="260" t="s">
        <v>355</v>
      </c>
      <c r="B26" s="162"/>
      <c r="C26" s="162"/>
      <c r="D26" s="162"/>
      <c r="E26" s="261"/>
      <c r="F26" s="81">
        <v>0</v>
      </c>
      <c r="G26" s="82" t="s">
        <v>54</v>
      </c>
      <c r="H26" s="82" t="s">
        <v>54</v>
      </c>
      <c r="I26" s="81">
        <f>F26</f>
        <v>0</v>
      </c>
    </row>
    <row r="27" spans="1:9">
      <c r="A27" s="262" t="s">
        <v>382</v>
      </c>
      <c r="B27" s="263"/>
      <c r="C27" s="263"/>
      <c r="D27" s="263"/>
      <c r="E27" s="264"/>
      <c r="F27" s="83" t="s">
        <v>54</v>
      </c>
      <c r="G27" s="84" t="s">
        <v>54</v>
      </c>
      <c r="H27" s="84" t="s">
        <v>54</v>
      </c>
      <c r="I27" s="85">
        <f>SUM(I21:I26)</f>
        <v>0</v>
      </c>
    </row>
    <row r="29" spans="1:9" ht="15.75">
      <c r="A29" s="265" t="s">
        <v>383</v>
      </c>
      <c r="B29" s="266"/>
      <c r="C29" s="266"/>
      <c r="D29" s="266"/>
      <c r="E29" s="267"/>
      <c r="F29" s="268">
        <f>I18+I27</f>
        <v>0</v>
      </c>
      <c r="G29" s="269"/>
      <c r="H29" s="269"/>
      <c r="I29" s="270"/>
    </row>
    <row r="33" spans="1:9" ht="15.75">
      <c r="A33" s="253" t="s">
        <v>384</v>
      </c>
      <c r="B33" s="253"/>
      <c r="C33" s="253"/>
      <c r="D33" s="253"/>
      <c r="E33" s="253"/>
    </row>
    <row r="34" spans="1:9">
      <c r="A34" s="254" t="s">
        <v>385</v>
      </c>
      <c r="B34" s="255"/>
      <c r="C34" s="255"/>
      <c r="D34" s="255"/>
      <c r="E34" s="256"/>
      <c r="F34" s="78" t="s">
        <v>379</v>
      </c>
      <c r="G34" s="78" t="s">
        <v>112</v>
      </c>
      <c r="H34" s="78" t="s">
        <v>380</v>
      </c>
      <c r="I34" s="78" t="s">
        <v>379</v>
      </c>
    </row>
    <row r="35" spans="1:9">
      <c r="A35" s="260" t="s">
        <v>54</v>
      </c>
      <c r="B35" s="162"/>
      <c r="C35" s="162"/>
      <c r="D35" s="162"/>
      <c r="E35" s="261"/>
      <c r="F35" s="81">
        <v>0</v>
      </c>
      <c r="G35" s="82" t="s">
        <v>54</v>
      </c>
      <c r="H35" s="82" t="s">
        <v>54</v>
      </c>
      <c r="I35" s="81">
        <f>F35</f>
        <v>0</v>
      </c>
    </row>
    <row r="36" spans="1:9">
      <c r="A36" s="262" t="s">
        <v>386</v>
      </c>
      <c r="B36" s="263"/>
      <c r="C36" s="263"/>
      <c r="D36" s="263"/>
      <c r="E36" s="264"/>
      <c r="F36" s="83" t="s">
        <v>54</v>
      </c>
      <c r="G36" s="84" t="s">
        <v>54</v>
      </c>
      <c r="H36" s="84" t="s">
        <v>54</v>
      </c>
      <c r="I36" s="85">
        <f>SUM(I35:I35)</f>
        <v>0</v>
      </c>
    </row>
  </sheetData>
  <mergeCells count="53">
    <mergeCell ref="A36:E36"/>
    <mergeCell ref="A29:E29"/>
    <mergeCell ref="F29:I29"/>
    <mergeCell ref="A33:E33"/>
    <mergeCell ref="A34:E34"/>
    <mergeCell ref="A35:E35"/>
    <mergeCell ref="A23:E23"/>
    <mergeCell ref="A24:E24"/>
    <mergeCell ref="A25:E25"/>
    <mergeCell ref="A26:E26"/>
    <mergeCell ref="A27:E27"/>
    <mergeCell ref="A17:E17"/>
    <mergeCell ref="A18:E18"/>
    <mergeCell ref="A20:E20"/>
    <mergeCell ref="A21:E21"/>
    <mergeCell ref="A22:E22"/>
    <mergeCell ref="A13:E13"/>
    <mergeCell ref="A14:E14"/>
    <mergeCell ref="A15:E15"/>
    <mergeCell ref="A16:E16"/>
    <mergeCell ref="H10:H11"/>
    <mergeCell ref="A10:B11"/>
    <mergeCell ref="C2:D3"/>
    <mergeCell ref="C4:D5"/>
    <mergeCell ref="C6:D7"/>
    <mergeCell ref="C10:D11"/>
    <mergeCell ref="I10:I11"/>
    <mergeCell ref="F2:G3"/>
    <mergeCell ref="F4:G5"/>
    <mergeCell ref="F6:G7"/>
    <mergeCell ref="F10:G11"/>
    <mergeCell ref="G8:G9"/>
    <mergeCell ref="E2:E3"/>
    <mergeCell ref="E4:E5"/>
    <mergeCell ref="E6:E7"/>
    <mergeCell ref="E8:E9"/>
    <mergeCell ref="E10:E11"/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C8:C9"/>
    <mergeCell ref="D8:D9"/>
    <mergeCell ref="F8:F9"/>
  </mergeCells>
  <pageMargins left="0.393999993801117" right="0.393999993801117" top="0.59100002050399802" bottom="0.59100002050399802" header="0" footer="0"/>
  <pageSetup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sR</vt:lpstr>
      <vt:lpstr>Krycí list rozpočtu</vt:lpstr>
      <vt:lpstr>Rozpočet - Jen podskupiny</vt:lpstr>
      <vt:lpstr>Stavební rozpočet</vt:lpstr>
      <vt:lpstr>VORN</vt:lpstr>
      <vt:lpstr>'Krycí list rozpočtu'!Oblast_tisku</vt:lpstr>
      <vt:lpstr>'Rozpočet - Jen podskupiny'!Oblast_tisku</vt:lpstr>
      <vt:lpstr>sR!Oblast_tisku</vt:lpstr>
      <vt:lpstr>'Stavební rozpočet'!Oblast_tisku</vt:lpstr>
      <vt:lpstr>vorn_sum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2025-07-04T14:38:59Z</dcterms:created>
  <dcterms:modified xsi:type="dcterms:W3CDTF">2025-07-04T14:39:06Z</dcterms:modified>
</cp:coreProperties>
</file>