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11460" activeTab="1"/>
  </bookViews>
  <sheets>
    <sheet name="výhled pro FV vč.dotací" sheetId="1" r:id="rId1"/>
    <sheet name="Inv.a neinv.akce 2018-2021" sheetId="2" r:id="rId2"/>
  </sheets>
  <definedNames>
    <definedName name="_xlnm.Print_Area" localSheetId="1">'Inv.a neinv.akce 2018-2021'!$A$1:$AA$67</definedName>
    <definedName name="_xlnm.Print_Area" localSheetId="0">'výhled pro FV vč.dotací'!$A$1:$L$34</definedName>
  </definedNames>
  <calcPr fullCalcOnLoad="1"/>
</workbook>
</file>

<file path=xl/comments1.xml><?xml version="1.0" encoding="utf-8"?>
<comments xmlns="http://schemas.openxmlformats.org/spreadsheetml/2006/main">
  <authors>
    <author>smutn?</author>
    <author>kastner</author>
  </authors>
  <commentList>
    <comment ref="E17" authorId="0">
      <text>
        <r>
          <rPr>
            <b/>
            <sz val="9"/>
            <rFont val="Tahoma"/>
            <family val="2"/>
          </rPr>
          <t>PDP na konci roku - Operace z peněžních účtů organizace nemající  charakter příjmů a výdajů vládního sektoru</t>
        </r>
      </text>
    </comment>
    <comment ref="H7" authorId="0">
      <text>
        <r>
          <rPr>
            <b/>
            <sz val="9"/>
            <rFont val="Tahoma"/>
            <family val="2"/>
          </rPr>
          <t xml:space="preserve">vč.dividendy z KT 9 mil. </t>
        </r>
      </text>
    </comment>
    <comment ref="J7" authorId="0">
      <text>
        <r>
          <rPr>
            <b/>
            <sz val="9"/>
            <rFont val="Tahoma"/>
            <family val="2"/>
          </rPr>
          <t xml:space="preserve">vč.dividendy z KT 10 mil. </t>
        </r>
      </text>
    </comment>
    <comment ref="J9" authorId="0">
      <text>
        <r>
          <rPr>
            <b/>
            <sz val="9"/>
            <rFont val="Tahoma"/>
            <family val="2"/>
          </rPr>
          <t>= dotace na přenes. působnost vč.valorizace dle MF
+ dotace dle Inv.neinv.akcí
15.500 = převod z HoČ na odvod DPH</t>
        </r>
      </text>
    </comment>
    <comment ref="H11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čerpání úvěru pouze ve výši dotací</t>
        </r>
      </text>
    </comment>
    <comment ref="H15" authorId="1">
      <text>
        <r>
          <rPr>
            <b/>
            <sz val="9"/>
            <rFont val="Tahoma"/>
            <family val="2"/>
          </rPr>
          <t>kastner:</t>
        </r>
        <r>
          <rPr>
            <sz val="9"/>
            <rFont val="Tahoma"/>
            <family val="2"/>
          </rPr>
          <t xml:space="preserve">
67 442 = DPS rozloženo mezi r. 2017, 2018 a 2019
39 700 = "dotované" akce rozloženy mezi r. 2017 a 2018
52 320 = přesuny do r.2018(bez Tf.k.)
1 000 = přesun chr.bydl. do r.2019</t>
        </r>
      </text>
    </comment>
    <comment ref="J15" authorId="1">
      <text>
        <r>
          <rPr>
            <b/>
            <sz val="9"/>
            <rFont val="Tahoma"/>
            <family val="2"/>
          </rPr>
          <t>kastner:</t>
        </r>
        <r>
          <rPr>
            <sz val="9"/>
            <rFont val="Tahoma"/>
            <family val="2"/>
          </rPr>
          <t xml:space="preserve">
uvedeno rozpočtu v. 3.2
(-) uvedeno i na listu inv. a neinv. akce  2018-2021
(+) pro r.2019 na listu inv. a neinv. akce  2018-2021 vč přesunů</t>
        </r>
      </text>
    </comment>
    <comment ref="K9" authorId="0">
      <text>
        <r>
          <rPr>
            <b/>
            <sz val="9"/>
            <rFont val="Tahoma"/>
            <family val="2"/>
          </rPr>
          <t>= dotace na přenes. působnost vč.valorizace dle MF
+ dotace dle Inv.neinv.akcí
5.500 = převod z HoČ na odvod DPH</t>
        </r>
      </text>
    </comment>
    <comment ref="I15" authorId="1">
      <text>
        <r>
          <rPr>
            <b/>
            <sz val="10"/>
            <rFont val="Calibri"/>
            <family val="2"/>
          </rPr>
          <t>kastner:
-</t>
        </r>
        <r>
          <rPr>
            <sz val="10"/>
            <rFont val="Calibri"/>
            <family val="2"/>
          </rPr>
          <t>107 644 = akce rozložené mezi r.2018 a 2019 (dofaktu.)
-40 000 = císařské lázně
-29 600 = přesun AS Start
-65 000 = "přesun" Drahomíra
-12 500 = sociální bydlení</t>
        </r>
        <r>
          <rPr>
            <sz val="10"/>
            <rFont val="Calibri"/>
            <family val="2"/>
          </rPr>
          <t xml:space="preserve">
-1 000 = komunitní centrum
-33 250 = ul.Moravská
- 4 217 = přesun cyklostezka A5 Meandr-Tuh.lávka
- 6 752 = cyklostezka Dvorský-Doubský most (úspora)
 -22 600 = tržní krámky
-5 500 = ZŠ J.A.Kome.rekonstrukce slabo a silnoproudu
-1 500 = územní plán
-4 685 = přesun cyklostezka A6 Tuh.lávka-loděnice
-3 395 = sklaní masív (úspora) 
-4 416 = pasportizace majetku
-9 629 = Koptův most</t>
        </r>
      </text>
    </comment>
    <comment ref="K7" authorId="0">
      <text>
        <r>
          <rPr>
            <b/>
            <sz val="9"/>
            <rFont val="Tahoma"/>
            <family val="2"/>
          </rPr>
          <t xml:space="preserve">vč.dividendy z KT 10 mil. </t>
        </r>
      </text>
    </comment>
    <comment ref="L7" authorId="0">
      <text>
        <r>
          <rPr>
            <b/>
            <sz val="9"/>
            <rFont val="Tahoma"/>
            <family val="2"/>
          </rPr>
          <t xml:space="preserve">vč.dividendy z KT 10 mil. </t>
        </r>
      </text>
    </comment>
    <comment ref="K14" authorId="1">
      <text>
        <r>
          <rPr>
            <b/>
            <sz val="9"/>
            <rFont val="Tahoma"/>
            <family val="2"/>
          </rPr>
          <t>kastner:</t>
        </r>
        <r>
          <rPr>
            <sz val="9"/>
            <rFont val="Tahoma"/>
            <family val="2"/>
          </rPr>
          <t xml:space="preserve">
953 383 = BV ve schváleném rozpočtu na r. 2018
+ 4 500 = MHD nepracující</t>
        </r>
      </text>
    </comment>
    <comment ref="L9" authorId="0">
      <text>
        <r>
          <rPr>
            <b/>
            <sz val="9"/>
            <rFont val="Tahoma"/>
            <family val="2"/>
          </rPr>
          <t>= dotace na přenes. působnost vč.valorizace dle MF
+ dotace dle Inv.neinv.akcí
5.500 = převod z HoČ na odvod DPH</t>
        </r>
      </text>
    </comment>
    <comment ref="I9" authorId="0">
      <text>
        <r>
          <rPr>
            <b/>
            <sz val="9"/>
            <rFont val="Tahoma"/>
            <family val="2"/>
          </rPr>
          <t xml:space="preserve">= dotace na přenes. působnost vč.valorizace dle MF+ převod z HoČ na odvod DPH
+ dotace dle Inv.neinv.akcí
37 329 = již zapojené dotace
</t>
        </r>
      </text>
    </comment>
    <comment ref="K15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pouze dle listu inv. a neinv. akce  2018-2021
</t>
        </r>
      </text>
    </comment>
    <comment ref="I7" authorId="1">
      <text>
        <r>
          <rPr>
            <b/>
            <sz val="9"/>
            <rFont val="Tahoma"/>
            <family val="2"/>
          </rPr>
          <t>kastner:</t>
        </r>
        <r>
          <rPr>
            <sz val="9"/>
            <rFont val="Tahoma"/>
            <family val="2"/>
          </rPr>
          <t xml:space="preserve">
vč. dividend KVT a DPKV
</t>
        </r>
      </text>
    </comment>
    <comment ref="J14" authorId="1">
      <text>
        <r>
          <rPr>
            <b/>
            <sz val="9"/>
            <rFont val="Tahoma"/>
            <family val="2"/>
          </rPr>
          <t>kastner:</t>
        </r>
        <r>
          <rPr>
            <sz val="9"/>
            <rFont val="Tahoma"/>
            <family val="2"/>
          </rPr>
          <t xml:space="preserve">
uvedeno rozpočtu v. 3.2
(-) uvedeno i na listu inv. a neinv. akce  2018-2021
(+) pro r.2019 na listu inv. a neinv. akce  2018-2021 vč přesunů
</t>
        </r>
      </text>
    </comment>
    <comment ref="L14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vč. MHD nepracující</t>
        </r>
      </text>
    </comment>
    <comment ref="I14" authorId="1">
      <text>
        <r>
          <rPr>
            <b/>
            <sz val="9"/>
            <rFont val="Tahoma"/>
            <family val="2"/>
          </rPr>
          <t>kastner:</t>
        </r>
        <r>
          <rPr>
            <sz val="9"/>
            <rFont val="Tahoma"/>
            <family val="2"/>
          </rPr>
          <t xml:space="preserve">
- 7 500 = kremační pec</t>
        </r>
      </text>
    </comment>
  </commentList>
</comments>
</file>

<file path=xl/comments2.xml><?xml version="1.0" encoding="utf-8"?>
<comments xmlns="http://schemas.openxmlformats.org/spreadsheetml/2006/main">
  <authors>
    <author>Kamil Kastner</author>
    <author>kastner</author>
  </authors>
  <commentList>
    <comment ref="B8" authorId="0">
      <text>
        <r>
          <rPr>
            <b/>
            <sz val="9"/>
            <rFont val="Tahoma"/>
            <family val="2"/>
          </rPr>
          <t>Kamil Kastner:</t>
        </r>
        <r>
          <rPr>
            <sz val="9"/>
            <rFont val="Tahoma"/>
            <family val="2"/>
          </rPr>
          <t xml:space="preserve">
10 647 = tr. v roce 2011</t>
        </r>
      </text>
    </comment>
    <comment ref="B9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Calibri"/>
            <family val="2"/>
          </rPr>
          <t>80 237 = stavba
1 815 = VO, sadové úpravy
3 735 = dozory
4 840 = vybavení nábytkem
1 815 = rezerva
1 157 = výdaj 2016
1 342 = výdaj 2017</t>
        </r>
      </text>
    </comment>
    <comment ref="K26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skutečnost</t>
        </r>
      </text>
    </comment>
    <comment ref="R54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80%
</t>
        </r>
      </text>
    </comment>
    <comment ref="P52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5 100 = rozšíření záruk firewallu, antiviru, serveru...</t>
        </r>
      </text>
    </comment>
    <comment ref="L24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ZŠ Truhlářská/Truhlářská
dílny</t>
        </r>
      </text>
    </comment>
    <comment ref="P24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ZŠ 1.máje
ZŠ Libušina
</t>
        </r>
      </text>
    </comment>
    <comment ref="B15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navýšení dle VZ + email ORI</t>
        </r>
      </text>
    </comment>
    <comment ref="R52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</t>
        </r>
      </text>
    </comment>
    <comment ref="R28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</t>
        </r>
      </text>
    </comment>
    <comment ref="N55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cca 85%</t>
        </r>
      </text>
    </comment>
    <comment ref="R55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85%
dle rozhodnutí až v r.2019
</t>
        </r>
      </text>
    </comment>
    <comment ref="N23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80%
</t>
        </r>
      </text>
    </comment>
    <comment ref="N15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
25 629 = způsobilé V
</t>
        </r>
      </text>
    </comment>
    <comment ref="N57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
</t>
        </r>
      </text>
    </comment>
    <comment ref="N58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
</t>
        </r>
      </text>
    </comment>
    <comment ref="R57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 žádosti na KU KK
</t>
        </r>
      </text>
    </comment>
    <comment ref="R58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 SVR p.o.</t>
        </r>
      </text>
    </comment>
    <comment ref="U58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 SVR p.o.</t>
        </r>
      </text>
    </comment>
    <comment ref="X58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 SVR p.o.</t>
        </r>
      </text>
    </comment>
    <comment ref="L30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7 499 dle směrného rozpočtu</t>
        </r>
      </text>
    </comment>
    <comment ref="M30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1 875 dle směr.rozp.</t>
        </r>
      </text>
    </comment>
    <comment ref="R30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5 624 dle směr.rozp.</t>
        </r>
      </text>
    </comment>
    <comment ref="R7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OSD max. výše</t>
        </r>
      </text>
    </comment>
    <comment ref="N18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pokynu k platbě
1 812 dle rozhodnutí</t>
        </r>
      </text>
    </comment>
    <comment ref="N35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OSD</t>
        </r>
      </text>
    </comment>
    <comment ref="R15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
25 629 = způsobilé V
</t>
        </r>
      </text>
    </comment>
    <comment ref="R32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 je suma dotace na 1.+2.etapu 18,05 mil;</t>
        </r>
      </text>
    </comment>
    <comment ref="U32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 je suma dotace na 1.+2.etapu 18,05 mil;</t>
        </r>
      </text>
    </comment>
    <comment ref="R41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pouze na LED svítidla</t>
        </r>
      </text>
    </comment>
    <comment ref="R42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půjčka</t>
        </r>
      </text>
    </comment>
    <comment ref="L21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
12 991,3 = způsobilé V
</t>
        </r>
      </text>
    </comment>
    <comment ref="P21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3 000 = VO</t>
        </r>
      </text>
    </comment>
    <comment ref="N21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pokynu k platbě
11 693 dle rozhodnutí
12 991,3 = způsobilé V
</t>
        </r>
      </text>
    </comment>
    <comment ref="U57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žádosti pro r.2019 na KU KK
</t>
        </r>
      </text>
    </comment>
    <comment ref="A19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6500 z ř.20</t>
        </r>
      </text>
    </comment>
    <comment ref="A17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1500 z ř.20</t>
        </r>
      </text>
    </comment>
    <comment ref="N54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478,946 skutečnost</t>
        </r>
      </text>
    </comment>
    <comment ref="U19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85%
</t>
        </r>
      </text>
    </comment>
    <comment ref="O7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sadové úpravy dofinancování</t>
        </r>
      </text>
    </comment>
    <comment ref="O9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dovybavení dofinancování</t>
        </r>
      </text>
    </comment>
    <comment ref="P43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projekt
</t>
        </r>
      </text>
    </comment>
    <comment ref="P44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projekt
</t>
        </r>
      </text>
    </comment>
    <comment ref="O36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jednání 10.12.</t>
        </r>
      </text>
    </comment>
    <comment ref="N24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pokynu k platbě 4 428,3942 
dle rozhodnutí 4 920,438 = způsobilé V
</t>
        </r>
      </text>
    </comment>
    <comment ref="R16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dle rozhodnutí
29 663 = způsobilé V</t>
        </r>
      </text>
    </comment>
    <comment ref="P40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konec 12/2020
</t>
        </r>
      </text>
    </comment>
    <comment ref="P39" authorId="1">
      <text>
        <r>
          <rPr>
            <b/>
            <sz val="10"/>
            <rFont val="Tahoma"/>
            <family val="2"/>
          </rPr>
          <t>kastner:</t>
        </r>
        <r>
          <rPr>
            <sz val="10"/>
            <rFont val="Tahoma"/>
            <family val="2"/>
          </rPr>
          <t xml:space="preserve">
konec 06/2023</t>
        </r>
      </text>
    </comment>
    <comment ref="S39" authorId="1">
      <text>
        <r>
          <rPr>
            <b/>
            <sz val="9"/>
            <rFont val="Tahoma"/>
            <family val="2"/>
          </rPr>
          <t>kastner:</t>
        </r>
        <r>
          <rPr>
            <sz val="9"/>
            <rFont val="Tahoma"/>
            <family val="2"/>
          </rPr>
          <t xml:space="preserve">
dle dotace za první 2 roky 43</t>
        </r>
      </text>
    </comment>
  </commentList>
</comments>
</file>

<file path=xl/sharedStrings.xml><?xml version="1.0" encoding="utf-8"?>
<sst xmlns="http://schemas.openxmlformats.org/spreadsheetml/2006/main" count="158" uniqueCount="128">
  <si>
    <t>A</t>
  </si>
  <si>
    <t>Počáteční stav peněžních prostředků k 1.1.</t>
  </si>
  <si>
    <t xml:space="preserve">                PŘÍJMY</t>
  </si>
  <si>
    <t>P1</t>
  </si>
  <si>
    <t>Třída 1</t>
  </si>
  <si>
    <t>Daňové příjmy</t>
  </si>
  <si>
    <t>P2</t>
  </si>
  <si>
    <t>Třída 2</t>
  </si>
  <si>
    <t>Nedaňové příjmy</t>
  </si>
  <si>
    <t>P3</t>
  </si>
  <si>
    <t>Třída 3</t>
  </si>
  <si>
    <t>Kapitálové příjmy</t>
  </si>
  <si>
    <t>P4</t>
  </si>
  <si>
    <t>Třída 4</t>
  </si>
  <si>
    <t>Pc</t>
  </si>
  <si>
    <t>P1+P2+P3+P4</t>
  </si>
  <si>
    <t>Příjmy celkem</t>
  </si>
  <si>
    <t>P6</t>
  </si>
  <si>
    <t>P</t>
  </si>
  <si>
    <t>Příjmy celkem včetně přijatých úvěrů</t>
  </si>
  <si>
    <t xml:space="preserve">                VÝDAJE</t>
  </si>
  <si>
    <t>V1</t>
  </si>
  <si>
    <t>Třída 5</t>
  </si>
  <si>
    <t>Běžné výdaje</t>
  </si>
  <si>
    <t>V2</t>
  </si>
  <si>
    <t>Třída 6</t>
  </si>
  <si>
    <t>Kapitálové výdaje</t>
  </si>
  <si>
    <t>Vc</t>
  </si>
  <si>
    <t>V1+V2</t>
  </si>
  <si>
    <t>Výdaje celkem</t>
  </si>
  <si>
    <t>V5</t>
  </si>
  <si>
    <t>Vf</t>
  </si>
  <si>
    <t>Splátky jistin úvěrů celkem</t>
  </si>
  <si>
    <t>V</t>
  </si>
  <si>
    <t>Vc+Vf</t>
  </si>
  <si>
    <t>Výdaje celkem vč. splátek jistiny úvěrů</t>
  </si>
  <si>
    <t>D</t>
  </si>
  <si>
    <t xml:space="preserve">Změna hotovosti běžného roku </t>
  </si>
  <si>
    <t>E</t>
  </si>
  <si>
    <t>Stav peněžních prostředků k 31.12.</t>
  </si>
  <si>
    <t>Skutečnost 2013</t>
  </si>
  <si>
    <t>Přijaté transfery</t>
  </si>
  <si>
    <t>V3</t>
  </si>
  <si>
    <t>V4</t>
  </si>
  <si>
    <t>V4+V5</t>
  </si>
  <si>
    <t>řízení likvidity</t>
  </si>
  <si>
    <t>v tis.Kč</t>
  </si>
  <si>
    <t>celkem</t>
  </si>
  <si>
    <t>předfinancování</t>
  </si>
  <si>
    <t>financování akce</t>
  </si>
  <si>
    <t>podíl města</t>
  </si>
  <si>
    <t>Lávka přes Horní nádraží</t>
  </si>
  <si>
    <t>ostatní kapitálové výdaje odborů</t>
  </si>
  <si>
    <t>KAPITÁLOVÉ VÝDAJE CELKEM</t>
  </si>
  <si>
    <t>Běžné výdaje - dotace</t>
  </si>
  <si>
    <t>BĚŽNÉ VÝDAJE CELKEM</t>
  </si>
  <si>
    <t>VÝDAJE CELKEM</t>
  </si>
  <si>
    <t xml:space="preserve">splátky jistin úvěrů </t>
  </si>
  <si>
    <t>Skutečnost 2014</t>
  </si>
  <si>
    <t>Přijaté úvěry</t>
  </si>
  <si>
    <t>Pc+P6</t>
  </si>
  <si>
    <t xml:space="preserve">Přístavba Domova pro seniory - Stará Role, ulice Závodu míru </t>
  </si>
  <si>
    <t xml:space="preserve">rekonstrukce tržních krámků </t>
  </si>
  <si>
    <t>prevence kriminality + kamerový systém</t>
  </si>
  <si>
    <t>dotace EU/SR</t>
  </si>
  <si>
    <t>dotaceEU/SR</t>
  </si>
  <si>
    <t>Skutečnost 2015</t>
  </si>
  <si>
    <t>Výhled na rok 2020</t>
  </si>
  <si>
    <t>Čísla odpovídající skutečnosti - nelze měnit</t>
  </si>
  <si>
    <t>Skutečnost 2016</t>
  </si>
  <si>
    <t>Goethova vyhlídka - obnova objektu</t>
  </si>
  <si>
    <t>IPRU - Městské divadlo - střecha</t>
  </si>
  <si>
    <t>Cyklostezka A2, Tašovice - Dvory</t>
  </si>
  <si>
    <t>Cyklostezka podél Ohře úsek Dvorský most – Doubský most</t>
  </si>
  <si>
    <t>Generel dopravy - SUMP</t>
  </si>
  <si>
    <t xml:space="preserve">OPZ - socilální začleňování - koncepce </t>
  </si>
  <si>
    <t>ZŠ - IPRÚ - odborné očebny (IT)</t>
  </si>
  <si>
    <t>splátka jistiny dlouhodob. úvěrů - multif. hala</t>
  </si>
  <si>
    <t>x</t>
  </si>
  <si>
    <t>Sociální bydlení = Komenského ul. (OMM)</t>
  </si>
  <si>
    <t>ZŠ Kyberbezpečnost - výzva IROP č.47 - Konektivita  (OIT+ORI)</t>
  </si>
  <si>
    <t>MZSS - dotace SR a KU</t>
  </si>
  <si>
    <t>KSO - dotace SR a KU</t>
  </si>
  <si>
    <t>ZŠ Poštovní - hřiště pro školní družinu - IROP</t>
  </si>
  <si>
    <t>ZŠ Truhlářská, budova Školní 310/9A - zajištění energ. úspor</t>
  </si>
  <si>
    <t>rozložení akcí mezi 2018 a 2019</t>
  </si>
  <si>
    <t>Kompostery</t>
  </si>
  <si>
    <t>Rekonstrukce ulic Moravská, Hynaisova a náměstí Svobody</t>
  </si>
  <si>
    <t>Skutečnost 2017</t>
  </si>
  <si>
    <t>ZŠ Dukelských hrdinů – hřiště a okolí školních budov</t>
  </si>
  <si>
    <t>ZŠ Truhlářská, budova Školní - rekonstrukce střechy</t>
  </si>
  <si>
    <t>ZŠ Truhlářská, budova Školní - odb. učebny + výtah</t>
  </si>
  <si>
    <t>SPLZaK - Investiční příspěvek vymístění krenotechniky</t>
  </si>
  <si>
    <t>Střednědobý výhled rozpočtu města Karlovy Vary na léta 2020 až 2021 - dle dotovaných akcí</t>
  </si>
  <si>
    <t>Čísla odpovídají UR ke dni aktualizace</t>
  </si>
  <si>
    <t>Upravený rozpočet 2018</t>
  </si>
  <si>
    <t>Výhled na rok 2021</t>
  </si>
  <si>
    <t>Rozpočet na rok 2019</t>
  </si>
  <si>
    <t>2022 - 2029</t>
  </si>
  <si>
    <t>FINANCOVÁNÍ INVESTIČNÍCH A NEINVESTIČNÍCH AKCÍ V PRŮBĚHU LET 2018 - 2021</t>
  </si>
  <si>
    <t>Ulice Hlavní - rozšíření místní komunikace  (Accolade)</t>
  </si>
  <si>
    <t>rozložení akcí rozpočtovaných na r.2019  do r.2020 až 2029</t>
  </si>
  <si>
    <t>Revitalizace Císařských lázní (schvál. ZM 21.6.2011)</t>
  </si>
  <si>
    <t>*Cyklost. A5 - Meandr Ohře - Tuhnická lávka</t>
  </si>
  <si>
    <t>*Cyklostezky IPRU (OSD)</t>
  </si>
  <si>
    <t>*EPC projekty</t>
  </si>
  <si>
    <t>*Mlýnská kolonáda</t>
  </si>
  <si>
    <t>*Sadová kolonáda</t>
  </si>
  <si>
    <t>Propojení ul. Anglická,Mozartova,Vrchlického-II.etapa</t>
  </si>
  <si>
    <t>Revitalizace vnitrobloku ul.Svobodova a Družstevní, St. Role</t>
  </si>
  <si>
    <t>verze 3</t>
  </si>
  <si>
    <t>návrh rozpočtu</t>
  </si>
  <si>
    <t>*Chráněné/sociální bydlení, Závodu Míru 314 nebo Komenského</t>
  </si>
  <si>
    <t>Komunitní centrum (Lid.dům)</t>
  </si>
  <si>
    <t>dotace z r.2019</t>
  </si>
  <si>
    <t>dotace z r.2018</t>
  </si>
  <si>
    <t>*Úpravy přednádražního prostoru</t>
  </si>
  <si>
    <t>*Cyklostezka A6 - úsek Tuhnická lávka - loděnice</t>
  </si>
  <si>
    <t>AS Karlovy Vary - Tuhnice</t>
  </si>
  <si>
    <t>Pasportizace nemovitého majetku (OMM)</t>
  </si>
  <si>
    <t>*Ul.Varšavská - rek. ploch před dopravním terminálem - IPRÚ</t>
  </si>
  <si>
    <t>*Opatření proti skalnímu řícení a sesuvům na s. I/6 v k.ú. Bohatice</t>
  </si>
  <si>
    <t>*technika a zařízení pro svoz bioodpadu (BRO)</t>
  </si>
  <si>
    <t>ZŠ Krušnohorská - zajištění energetických úspor</t>
  </si>
  <si>
    <t>Bikesharing - SFŽP</t>
  </si>
  <si>
    <t xml:space="preserve">*ZŠ - IPRÚ - odborné učebny (ORI) - </t>
  </si>
  <si>
    <t>*VO - vybrané lokality VOKV</t>
  </si>
  <si>
    <t>AKTUALIZACE - 7.1.2019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</si>
</sst>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0"/>
    <numFmt numFmtId="166" formatCode="#,##0.0_ ;[Red]\-#,##0.0\ "/>
    <numFmt numFmtId="167" formatCode="#,##0.00_ ;[Red]\-#,##0.00\ "/>
    <numFmt numFmtId="168" formatCode="#,##0.000_ ;[Red]\-#,##0.000\ "/>
    <numFmt numFmtId="169" formatCode="#,##0.0"/>
    <numFmt numFmtId="170" formatCode="[$-405]d\.\ mmmm\ yyyy"/>
    <numFmt numFmtId="171" formatCode="0.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9" tint="0.39998000860214233"/>
      </patternFill>
    </fill>
    <fill>
      <patternFill patternType="gray0625">
        <bgColor theme="9" tint="0.3999499976634979"/>
      </patternFill>
    </fill>
    <fill>
      <patternFill patternType="gray0625">
        <bgColor theme="5" tint="0.39998000860214233"/>
      </patternFill>
    </fill>
    <fill>
      <patternFill patternType="solid">
        <fgColor theme="2" tint="-0.09996999800205231"/>
        <bgColor indexed="64"/>
      </patternFill>
    </fill>
    <fill>
      <patternFill patternType="gray0625">
        <bgColor theme="9" tint="0.399910002946853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2" borderId="6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0" borderId="8">
      <alignment/>
      <protection locked="0"/>
    </xf>
    <xf numFmtId="0" fontId="2" fillId="0" borderId="8">
      <alignment/>
      <protection locked="0"/>
    </xf>
    <xf numFmtId="0" fontId="57" fillId="25" borderId="9" applyNumberFormat="0" applyAlignment="0" applyProtection="0"/>
    <xf numFmtId="0" fontId="58" fillId="26" borderId="9" applyNumberFormat="0" applyAlignment="0" applyProtection="0"/>
    <xf numFmtId="0" fontId="59" fillId="26" borderId="10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28" fillId="0" borderId="11" xfId="80" applyFont="1" applyBorder="1" applyAlignment="1">
      <alignment horizontal="center" vertical="center"/>
      <protection/>
    </xf>
    <xf numFmtId="0" fontId="29" fillId="0" borderId="12" xfId="80" applyFont="1" applyBorder="1" applyAlignment="1">
      <alignment horizontal="center" vertical="center"/>
      <protection/>
    </xf>
    <xf numFmtId="0" fontId="30" fillId="0" borderId="13" xfId="80" applyFont="1" applyBorder="1" applyAlignment="1">
      <alignment horizontal="center" vertical="center"/>
      <protection/>
    </xf>
    <xf numFmtId="49" fontId="29" fillId="0" borderId="13" xfId="80" applyNumberFormat="1" applyFont="1" applyBorder="1" applyAlignment="1">
      <alignment vertical="center"/>
      <protection/>
    </xf>
    <xf numFmtId="0" fontId="29" fillId="0" borderId="14" xfId="80" applyFont="1" applyBorder="1" applyAlignment="1">
      <alignment horizontal="center" vertical="center"/>
      <protection/>
    </xf>
    <xf numFmtId="0" fontId="30" fillId="0" borderId="15" xfId="80" applyFont="1" applyBorder="1" applyAlignment="1">
      <alignment horizontal="center" vertical="center"/>
      <protection/>
    </xf>
    <xf numFmtId="49" fontId="29" fillId="0" borderId="15" xfId="80" applyNumberFormat="1" applyFont="1" applyBorder="1" applyAlignment="1">
      <alignment vertical="center"/>
      <protection/>
    </xf>
    <xf numFmtId="0" fontId="28" fillId="0" borderId="14" xfId="80" applyFont="1" applyFill="1" applyBorder="1" applyAlignment="1">
      <alignment horizontal="center" vertical="center"/>
      <protection/>
    </xf>
    <xf numFmtId="0" fontId="31" fillId="0" borderId="15" xfId="80" applyFont="1" applyFill="1" applyBorder="1" applyAlignment="1">
      <alignment horizontal="center" vertical="center"/>
      <protection/>
    </xf>
    <xf numFmtId="49" fontId="32" fillId="0" borderId="15" xfId="80" applyNumberFormat="1" applyFont="1" applyFill="1" applyBorder="1" applyAlignment="1">
      <alignment vertical="center"/>
      <protection/>
    </xf>
    <xf numFmtId="0" fontId="11" fillId="0" borderId="14" xfId="80" applyFont="1" applyFill="1" applyBorder="1" applyAlignment="1">
      <alignment horizontal="center" vertical="center"/>
      <protection/>
    </xf>
    <xf numFmtId="0" fontId="30" fillId="0" borderId="15" xfId="80" applyFont="1" applyFill="1" applyBorder="1" applyAlignment="1">
      <alignment horizontal="center" vertical="center"/>
      <protection/>
    </xf>
    <xf numFmtId="49" fontId="29" fillId="0" borderId="15" xfId="80" applyNumberFormat="1" applyFont="1" applyFill="1" applyBorder="1" applyAlignment="1">
      <alignment vertical="center"/>
      <protection/>
    </xf>
    <xf numFmtId="49" fontId="33" fillId="0" borderId="13" xfId="80" applyNumberFormat="1" applyFont="1" applyBorder="1" applyAlignment="1">
      <alignment vertical="center"/>
      <protection/>
    </xf>
    <xf numFmtId="49" fontId="33" fillId="0" borderId="15" xfId="80" applyNumberFormat="1" applyFont="1" applyBorder="1" applyAlignment="1">
      <alignment vertical="center"/>
      <protection/>
    </xf>
    <xf numFmtId="0" fontId="29" fillId="0" borderId="14" xfId="80" applyFont="1" applyFill="1" applyBorder="1" applyAlignment="1">
      <alignment horizontal="center" vertical="center"/>
      <protection/>
    </xf>
    <xf numFmtId="0" fontId="29" fillId="0" borderId="15" xfId="80" applyFont="1" applyFill="1" applyBorder="1" applyAlignment="1">
      <alignment horizontal="center" vertical="center"/>
      <protection/>
    </xf>
    <xf numFmtId="49" fontId="29" fillId="33" borderId="15" xfId="80" applyNumberFormat="1" applyFont="1" applyFill="1" applyBorder="1" applyAlignment="1">
      <alignment vertical="center"/>
      <protection/>
    </xf>
    <xf numFmtId="0" fontId="12" fillId="0" borderId="16" xfId="80" applyFont="1" applyBorder="1" applyAlignment="1">
      <alignment horizontal="center" vertical="center"/>
      <protection/>
    </xf>
    <xf numFmtId="0" fontId="31" fillId="0" borderId="17" xfId="80" applyFont="1" applyBorder="1" applyAlignment="1">
      <alignment horizontal="center" vertical="center"/>
      <protection/>
    </xf>
    <xf numFmtId="49" fontId="33" fillId="0" borderId="17" xfId="80" applyNumberFormat="1" applyFont="1" applyBorder="1" applyAlignment="1">
      <alignment vertical="center"/>
      <protection/>
    </xf>
    <xf numFmtId="0" fontId="46" fillId="0" borderId="0" xfId="57">
      <alignment/>
      <protection/>
    </xf>
    <xf numFmtId="49" fontId="46" fillId="0" borderId="0" xfId="57" applyNumberFormat="1">
      <alignment/>
      <protection/>
    </xf>
    <xf numFmtId="3" fontId="29" fillId="0" borderId="15" xfId="80" applyNumberFormat="1" applyFont="1" applyFill="1" applyBorder="1" applyAlignment="1">
      <alignment horizontal="right" vertical="center"/>
      <protection/>
    </xf>
    <xf numFmtId="3" fontId="29" fillId="33" borderId="15" xfId="80" applyNumberFormat="1" applyFont="1" applyFill="1" applyBorder="1" applyAlignment="1">
      <alignment horizontal="right" vertical="center"/>
      <protection/>
    </xf>
    <xf numFmtId="3" fontId="29" fillId="33" borderId="18" xfId="80" applyNumberFormat="1" applyFont="1" applyFill="1" applyBorder="1" applyAlignment="1">
      <alignment horizontal="right" vertical="center"/>
      <protection/>
    </xf>
    <xf numFmtId="0" fontId="34" fillId="0" borderId="19" xfId="80" applyFont="1" applyFill="1" applyBorder="1" applyAlignment="1">
      <alignment horizontal="center" vertical="center"/>
      <protection/>
    </xf>
    <xf numFmtId="0" fontId="29" fillId="0" borderId="20" xfId="80" applyFont="1" applyFill="1" applyBorder="1" applyAlignment="1">
      <alignment horizontal="center" vertical="center"/>
      <protection/>
    </xf>
    <xf numFmtId="49" fontId="29" fillId="0" borderId="21" xfId="80" applyNumberFormat="1" applyFont="1" applyFill="1" applyBorder="1" applyAlignment="1">
      <alignment vertical="center"/>
      <protection/>
    </xf>
    <xf numFmtId="0" fontId="12" fillId="33" borderId="22" xfId="80" applyFont="1" applyFill="1" applyBorder="1" applyAlignment="1">
      <alignment horizontal="center" vertical="center" wrapText="1"/>
      <protection/>
    </xf>
    <xf numFmtId="0" fontId="33" fillId="0" borderId="12" xfId="80" applyFont="1" applyBorder="1" applyAlignment="1">
      <alignment horizontal="center" vertical="center"/>
      <protection/>
    </xf>
    <xf numFmtId="0" fontId="33" fillId="0" borderId="14" xfId="80" applyFont="1" applyBorder="1" applyAlignment="1">
      <alignment horizontal="center" vertical="center"/>
      <protection/>
    </xf>
    <xf numFmtId="0" fontId="35" fillId="0" borderId="0" xfId="66" applyFont="1">
      <alignment/>
      <protection/>
    </xf>
    <xf numFmtId="0" fontId="1" fillId="0" borderId="0" xfId="66">
      <alignment/>
      <protection/>
    </xf>
    <xf numFmtId="0" fontId="1" fillId="0" borderId="0" xfId="66" applyFill="1" applyAlignment="1">
      <alignment vertical="center"/>
      <protection/>
    </xf>
    <xf numFmtId="0" fontId="1" fillId="0" borderId="0" xfId="66" applyAlignment="1">
      <alignment vertical="center"/>
      <protection/>
    </xf>
    <xf numFmtId="3" fontId="35" fillId="0" borderId="23" xfId="66" applyNumberFormat="1" applyFont="1" applyFill="1" applyBorder="1" applyAlignment="1">
      <alignment horizontal="center" vertical="center"/>
      <protection/>
    </xf>
    <xf numFmtId="3" fontId="36" fillId="0" borderId="23" xfId="66" applyNumberFormat="1" applyFont="1" applyFill="1" applyBorder="1" applyAlignment="1">
      <alignment horizontal="center" vertical="center"/>
      <protection/>
    </xf>
    <xf numFmtId="0" fontId="35" fillId="0" borderId="0" xfId="66" applyFont="1" applyFill="1" applyAlignment="1">
      <alignment/>
      <protection/>
    </xf>
    <xf numFmtId="3" fontId="35" fillId="0" borderId="0" xfId="66" applyNumberFormat="1" applyFont="1" applyFill="1" applyAlignment="1">
      <alignment horizontal="center"/>
      <protection/>
    </xf>
    <xf numFmtId="3" fontId="35" fillId="0" borderId="0" xfId="66" applyNumberFormat="1" applyFont="1" applyFill="1">
      <alignment/>
      <protection/>
    </xf>
    <xf numFmtId="0" fontId="1" fillId="0" borderId="0" xfId="66" applyFill="1">
      <alignment/>
      <protection/>
    </xf>
    <xf numFmtId="3" fontId="35" fillId="0" borderId="15" xfId="66" applyNumberFormat="1" applyFont="1" applyFill="1" applyBorder="1" applyAlignment="1">
      <alignment horizontal="center" vertical="center"/>
      <protection/>
    </xf>
    <xf numFmtId="3" fontId="36" fillId="0" borderId="15" xfId="66" applyNumberFormat="1" applyFont="1" applyFill="1" applyBorder="1" applyAlignment="1">
      <alignment horizontal="center" vertical="center"/>
      <protection/>
    </xf>
    <xf numFmtId="3" fontId="36" fillId="0" borderId="18" xfId="66" applyNumberFormat="1" applyFont="1" applyFill="1" applyBorder="1" applyAlignment="1">
      <alignment horizontal="center" vertical="center"/>
      <protection/>
    </xf>
    <xf numFmtId="3" fontId="36" fillId="0" borderId="24" xfId="66" applyNumberFormat="1" applyFont="1" applyFill="1" applyBorder="1" applyAlignment="1">
      <alignment horizontal="center" vertical="center"/>
      <protection/>
    </xf>
    <xf numFmtId="3" fontId="35" fillId="0" borderId="17" xfId="66" applyNumberFormat="1" applyFont="1" applyFill="1" applyBorder="1" applyAlignment="1">
      <alignment horizontal="center" vertical="center"/>
      <protection/>
    </xf>
    <xf numFmtId="3" fontId="36" fillId="0" borderId="25" xfId="66" applyNumberFormat="1" applyFont="1" applyFill="1" applyBorder="1" applyAlignment="1">
      <alignment horizontal="center" vertical="center"/>
      <protection/>
    </xf>
    <xf numFmtId="0" fontId="3" fillId="0" borderId="0" xfId="66" applyFont="1" applyAlignment="1">
      <alignment vertical="center"/>
      <protection/>
    </xf>
    <xf numFmtId="0" fontId="35" fillId="0" borderId="0" xfId="66" applyFont="1" applyAlignment="1">
      <alignment/>
      <protection/>
    </xf>
    <xf numFmtId="3" fontId="35" fillId="0" borderId="0" xfId="66" applyNumberFormat="1" applyFont="1" applyAlignment="1">
      <alignment horizontal="center"/>
      <protection/>
    </xf>
    <xf numFmtId="3" fontId="35" fillId="0" borderId="0" xfId="66" applyNumberFormat="1" applyFont="1">
      <alignment/>
      <protection/>
    </xf>
    <xf numFmtId="0" fontId="12" fillId="17" borderId="11" xfId="66" applyFont="1" applyFill="1" applyBorder="1" applyAlignment="1">
      <alignment/>
      <protection/>
    </xf>
    <xf numFmtId="3" fontId="12" fillId="17" borderId="26" xfId="66" applyNumberFormat="1" applyFont="1" applyFill="1" applyBorder="1" applyAlignment="1">
      <alignment horizontal="center"/>
      <protection/>
    </xf>
    <xf numFmtId="3" fontId="12" fillId="34" borderId="26" xfId="66" applyNumberFormat="1" applyFont="1" applyFill="1" applyBorder="1" applyAlignment="1">
      <alignment horizontal="center"/>
      <protection/>
    </xf>
    <xf numFmtId="0" fontId="4" fillId="0" borderId="0" xfId="66" applyFont="1">
      <alignment/>
      <protection/>
    </xf>
    <xf numFmtId="0" fontId="35" fillId="0" borderId="0" xfId="66" applyFont="1" applyFill="1" applyAlignment="1">
      <alignment horizontal="center"/>
      <protection/>
    </xf>
    <xf numFmtId="3" fontId="37" fillId="0" borderId="0" xfId="66" applyNumberFormat="1" applyFont="1" applyFill="1" applyAlignment="1">
      <alignment horizontal="center"/>
      <protection/>
    </xf>
    <xf numFmtId="3" fontId="37" fillId="0" borderId="0" xfId="66" applyNumberFormat="1" applyFont="1" applyAlignment="1">
      <alignment horizontal="center"/>
      <protection/>
    </xf>
    <xf numFmtId="0" fontId="36" fillId="0" borderId="0" xfId="66" applyFont="1" applyFill="1" applyAlignment="1">
      <alignment horizontal="left"/>
      <protection/>
    </xf>
    <xf numFmtId="0" fontId="36" fillId="35" borderId="11" xfId="66" applyFont="1" applyFill="1" applyBorder="1" applyAlignment="1">
      <alignment/>
      <protection/>
    </xf>
    <xf numFmtId="3" fontId="36" fillId="35" borderId="26" xfId="66" applyNumberFormat="1" applyFont="1" applyFill="1" applyBorder="1" applyAlignment="1">
      <alignment horizontal="center"/>
      <protection/>
    </xf>
    <xf numFmtId="3" fontId="36" fillId="35" borderId="11" xfId="66" applyNumberFormat="1" applyFont="1" applyFill="1" applyBorder="1" applyAlignment="1">
      <alignment horizontal="center"/>
      <protection/>
    </xf>
    <xf numFmtId="3" fontId="37" fillId="35" borderId="26" xfId="66" applyNumberFormat="1" applyFont="1" applyFill="1" applyBorder="1" applyAlignment="1">
      <alignment horizontal="center"/>
      <protection/>
    </xf>
    <xf numFmtId="3" fontId="36" fillId="35" borderId="27" xfId="66" applyNumberFormat="1" applyFont="1" applyFill="1" applyBorder="1" applyAlignment="1">
      <alignment horizontal="center"/>
      <protection/>
    </xf>
    <xf numFmtId="0" fontId="35" fillId="0" borderId="0" xfId="66" applyFont="1" applyFill="1" applyBorder="1" applyAlignment="1">
      <alignment horizontal="left" vertical="center" wrapText="1"/>
      <protection/>
    </xf>
    <xf numFmtId="3" fontId="35" fillId="0" borderId="0" xfId="66" applyNumberFormat="1" applyFont="1" applyFill="1" applyBorder="1" applyAlignment="1">
      <alignment horizontal="center" vertical="center"/>
      <protection/>
    </xf>
    <xf numFmtId="3" fontId="35" fillId="0" borderId="0" xfId="66" applyNumberFormat="1" applyFont="1" applyFill="1" applyBorder="1">
      <alignment/>
      <protection/>
    </xf>
    <xf numFmtId="3" fontId="37" fillId="0" borderId="0" xfId="66" applyNumberFormat="1" applyFont="1" applyFill="1" applyBorder="1">
      <alignment/>
      <protection/>
    </xf>
    <xf numFmtId="0" fontId="1" fillId="0" borderId="0" xfId="66" applyBorder="1">
      <alignment/>
      <protection/>
    </xf>
    <xf numFmtId="0" fontId="61" fillId="0" borderId="0" xfId="57" applyFont="1">
      <alignment/>
      <protection/>
    </xf>
    <xf numFmtId="49" fontId="35" fillId="0" borderId="0" xfId="66" applyNumberFormat="1" applyFont="1" applyFill="1" applyAlignment="1">
      <alignment horizontal="left"/>
      <protection/>
    </xf>
    <xf numFmtId="0" fontId="1" fillId="0" borderId="0" xfId="66" applyFill="1" applyBorder="1" applyAlignment="1">
      <alignment horizontal="center"/>
      <protection/>
    </xf>
    <xf numFmtId="0" fontId="31" fillId="0" borderId="28" xfId="80" applyFont="1" applyFill="1" applyBorder="1" applyAlignment="1">
      <alignment horizontal="center" vertical="center"/>
      <protection/>
    </xf>
    <xf numFmtId="3" fontId="12" fillId="19" borderId="22" xfId="66" applyNumberFormat="1" applyFont="1" applyFill="1" applyBorder="1" applyAlignment="1">
      <alignment horizontal="center"/>
      <protection/>
    </xf>
    <xf numFmtId="3" fontId="38" fillId="19" borderId="22" xfId="66" applyNumberFormat="1" applyFont="1" applyFill="1" applyBorder="1" applyAlignment="1">
      <alignment horizontal="center"/>
      <protection/>
    </xf>
    <xf numFmtId="3" fontId="37" fillId="19" borderId="22" xfId="66" applyNumberFormat="1" applyFont="1" applyFill="1" applyBorder="1" applyAlignment="1">
      <alignment horizontal="center"/>
      <protection/>
    </xf>
    <xf numFmtId="3" fontId="61" fillId="0" borderId="0" xfId="57" applyNumberFormat="1" applyFont="1">
      <alignment/>
      <protection/>
    </xf>
    <xf numFmtId="0" fontId="36" fillId="0" borderId="11" xfId="66" applyFont="1" applyFill="1" applyBorder="1" applyAlignment="1">
      <alignment/>
      <protection/>
    </xf>
    <xf numFmtId="3" fontId="36" fillId="0" borderId="26" xfId="66" applyNumberFormat="1" applyFont="1" applyFill="1" applyBorder="1" applyAlignment="1">
      <alignment horizontal="center"/>
      <protection/>
    </xf>
    <xf numFmtId="3" fontId="37" fillId="0" borderId="26" xfId="66" applyNumberFormat="1" applyFont="1" applyFill="1" applyBorder="1" applyAlignment="1">
      <alignment horizontal="center"/>
      <protection/>
    </xf>
    <xf numFmtId="3" fontId="38" fillId="0" borderId="26" xfId="66" applyNumberFormat="1" applyFont="1" applyFill="1" applyBorder="1" applyAlignment="1">
      <alignment horizontal="center"/>
      <protection/>
    </xf>
    <xf numFmtId="0" fontId="4" fillId="0" borderId="0" xfId="66" applyFont="1" applyFill="1">
      <alignment/>
      <protection/>
    </xf>
    <xf numFmtId="3" fontId="0" fillId="0" borderId="0" xfId="0" applyNumberFormat="1" applyAlignment="1">
      <alignment/>
    </xf>
    <xf numFmtId="3" fontId="36" fillId="19" borderId="18" xfId="66" applyNumberFormat="1" applyFont="1" applyFill="1" applyBorder="1" applyAlignment="1">
      <alignment horizontal="center" vertical="center"/>
      <protection/>
    </xf>
    <xf numFmtId="3" fontId="35" fillId="0" borderId="29" xfId="66" applyNumberFormat="1" applyFont="1" applyFill="1" applyBorder="1">
      <alignment/>
      <protection/>
    </xf>
    <xf numFmtId="0" fontId="28" fillId="8" borderId="30" xfId="80" applyFont="1" applyFill="1" applyBorder="1" applyAlignment="1">
      <alignment horizontal="center" vertical="center"/>
      <protection/>
    </xf>
    <xf numFmtId="0" fontId="28" fillId="8" borderId="31" xfId="80" applyFont="1" applyFill="1" applyBorder="1" applyAlignment="1">
      <alignment horizontal="center" vertical="center"/>
      <protection/>
    </xf>
    <xf numFmtId="49" fontId="28" fillId="8" borderId="31" xfId="80" applyNumberFormat="1" applyFont="1" applyFill="1" applyBorder="1" applyAlignment="1">
      <alignment vertical="center"/>
      <protection/>
    </xf>
    <xf numFmtId="0" fontId="28" fillId="9" borderId="11" xfId="80" applyFont="1" applyFill="1" applyBorder="1" applyAlignment="1">
      <alignment horizontal="center" vertical="center"/>
      <protection/>
    </xf>
    <xf numFmtId="0" fontId="28" fillId="9" borderId="26" xfId="80" applyFont="1" applyFill="1" applyBorder="1" applyAlignment="1">
      <alignment horizontal="center" vertical="center"/>
      <protection/>
    </xf>
    <xf numFmtId="49" fontId="28" fillId="9" borderId="32" xfId="80" applyNumberFormat="1" applyFont="1" applyFill="1" applyBorder="1" applyAlignment="1">
      <alignment vertical="center"/>
      <protection/>
    </xf>
    <xf numFmtId="0" fontId="28" fillId="13" borderId="11" xfId="80" applyFont="1" applyFill="1" applyBorder="1" applyAlignment="1">
      <alignment horizontal="center" vertical="center"/>
      <protection/>
    </xf>
    <xf numFmtId="0" fontId="28" fillId="13" borderId="26" xfId="80" applyFont="1" applyFill="1" applyBorder="1" applyAlignment="1">
      <alignment horizontal="center" vertical="center"/>
      <protection/>
    </xf>
    <xf numFmtId="49" fontId="28" fillId="13" borderId="26" xfId="80" applyNumberFormat="1" applyFont="1" applyFill="1" applyBorder="1" applyAlignment="1">
      <alignment vertical="center"/>
      <protection/>
    </xf>
    <xf numFmtId="3" fontId="32" fillId="0" borderId="27" xfId="80" applyNumberFormat="1" applyFont="1" applyBorder="1" applyAlignment="1">
      <alignment horizontal="right" vertical="center"/>
      <protection/>
    </xf>
    <xf numFmtId="3" fontId="32" fillId="0" borderId="26" xfId="80" applyNumberFormat="1" applyFont="1" applyFill="1" applyBorder="1" applyAlignment="1">
      <alignment horizontal="right" vertical="center"/>
      <protection/>
    </xf>
    <xf numFmtId="3" fontId="32" fillId="0" borderId="26" xfId="80" applyNumberFormat="1" applyFont="1" applyBorder="1" applyAlignment="1">
      <alignment horizontal="right" vertical="center"/>
      <protection/>
    </xf>
    <xf numFmtId="3" fontId="32" fillId="0" borderId="33" xfId="80" applyNumberFormat="1" applyFont="1" applyBorder="1" applyAlignment="1">
      <alignment horizontal="right" vertical="center"/>
      <protection/>
    </xf>
    <xf numFmtId="3" fontId="32" fillId="0" borderId="22" xfId="80" applyNumberFormat="1" applyFont="1" applyBorder="1" applyAlignment="1">
      <alignment horizontal="right" vertical="center"/>
      <protection/>
    </xf>
    <xf numFmtId="3" fontId="34" fillId="0" borderId="0" xfId="80" applyNumberFormat="1" applyFont="1" applyBorder="1" applyAlignment="1">
      <alignment horizontal="right" vertical="center"/>
      <protection/>
    </xf>
    <xf numFmtId="3" fontId="34" fillId="0" borderId="34" xfId="80" applyNumberFormat="1" applyFont="1" applyFill="1" applyBorder="1" applyAlignment="1">
      <alignment horizontal="right" vertical="center"/>
      <protection/>
    </xf>
    <xf numFmtId="3" fontId="34" fillId="0" borderId="34" xfId="80" applyNumberFormat="1" applyFont="1" applyBorder="1" applyAlignment="1">
      <alignment horizontal="right" vertical="center"/>
      <protection/>
    </xf>
    <xf numFmtId="3" fontId="29" fillId="0" borderId="13" xfId="80" applyNumberFormat="1" applyFont="1" applyFill="1" applyBorder="1" applyAlignment="1">
      <alignment horizontal="right" vertical="center"/>
      <protection/>
    </xf>
    <xf numFmtId="3" fontId="29" fillId="0" borderId="35" xfId="80" applyNumberFormat="1" applyFont="1" applyFill="1" applyBorder="1" applyAlignment="1">
      <alignment horizontal="right" vertical="center"/>
      <protection/>
    </xf>
    <xf numFmtId="3" fontId="29" fillId="0" borderId="18" xfId="80" applyNumberFormat="1" applyFont="1" applyFill="1" applyBorder="1" applyAlignment="1">
      <alignment horizontal="right" vertical="center"/>
      <protection/>
    </xf>
    <xf numFmtId="3" fontId="32" fillId="0" borderId="15" xfId="80" applyNumberFormat="1" applyFont="1" applyFill="1" applyBorder="1" applyAlignment="1">
      <alignment horizontal="right" vertical="center"/>
      <protection/>
    </xf>
    <xf numFmtId="3" fontId="32" fillId="0" borderId="35" xfId="80" applyNumberFormat="1" applyFont="1" applyFill="1" applyBorder="1" applyAlignment="1">
      <alignment horizontal="right" vertical="center"/>
      <protection/>
    </xf>
    <xf numFmtId="3" fontId="32" fillId="0" borderId="18" xfId="80" applyNumberFormat="1" applyFont="1" applyFill="1" applyBorder="1" applyAlignment="1">
      <alignment horizontal="right" vertical="center"/>
      <protection/>
    </xf>
    <xf numFmtId="3" fontId="32" fillId="8" borderId="32" xfId="80" applyNumberFormat="1" applyFont="1" applyFill="1" applyBorder="1" applyAlignment="1">
      <alignment horizontal="right" vertical="center"/>
      <protection/>
    </xf>
    <xf numFmtId="3" fontId="32" fillId="8" borderId="36" xfId="80" applyNumberFormat="1" applyFont="1" applyFill="1" applyBorder="1" applyAlignment="1">
      <alignment horizontal="right" vertical="center"/>
      <protection/>
    </xf>
    <xf numFmtId="3" fontId="34" fillId="0" borderId="0" xfId="80" applyNumberFormat="1" applyFont="1" applyFill="1" applyBorder="1" applyAlignment="1">
      <alignment horizontal="right" vertical="center"/>
      <protection/>
    </xf>
    <xf numFmtId="3" fontId="33" fillId="0" borderId="13" xfId="80" applyNumberFormat="1" applyFont="1" applyFill="1" applyBorder="1" applyAlignment="1">
      <alignment horizontal="right" vertical="center"/>
      <protection/>
    </xf>
    <xf numFmtId="3" fontId="33" fillId="0" borderId="15" xfId="75" applyNumberFormat="1" applyFont="1" applyFill="1" applyBorder="1" applyAlignment="1">
      <alignment horizontal="right" vertical="center"/>
      <protection/>
    </xf>
    <xf numFmtId="3" fontId="33" fillId="0" borderId="15" xfId="80" applyNumberFormat="1" applyFont="1" applyFill="1" applyBorder="1" applyAlignment="1">
      <alignment horizontal="right" vertical="center"/>
      <protection/>
    </xf>
    <xf numFmtId="3" fontId="29" fillId="0" borderId="17" xfId="80" applyNumberFormat="1" applyFont="1" applyBorder="1" applyAlignment="1">
      <alignment horizontal="right" vertical="center"/>
      <protection/>
    </xf>
    <xf numFmtId="3" fontId="29" fillId="0" borderId="17" xfId="80" applyNumberFormat="1" applyFont="1" applyFill="1" applyBorder="1" applyAlignment="1">
      <alignment horizontal="right" vertical="center"/>
      <protection/>
    </xf>
    <xf numFmtId="3" fontId="29" fillId="0" borderId="25" xfId="80" applyNumberFormat="1" applyFont="1" applyBorder="1" applyAlignment="1">
      <alignment horizontal="right" vertical="center"/>
      <protection/>
    </xf>
    <xf numFmtId="3" fontId="32" fillId="9" borderId="31" xfId="80" applyNumberFormat="1" applyFont="1" applyFill="1" applyBorder="1" applyAlignment="1">
      <alignment horizontal="right" vertical="center"/>
      <protection/>
    </xf>
    <xf numFmtId="3" fontId="32" fillId="9" borderId="37" xfId="80" applyNumberFormat="1" applyFont="1" applyFill="1" applyBorder="1" applyAlignment="1">
      <alignment horizontal="right" vertical="center"/>
      <protection/>
    </xf>
    <xf numFmtId="3" fontId="32" fillId="9" borderId="36" xfId="8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34" fillId="0" borderId="20" xfId="80" applyNumberFormat="1" applyFont="1" applyFill="1" applyBorder="1" applyAlignment="1">
      <alignment horizontal="right" vertical="center"/>
      <protection/>
    </xf>
    <xf numFmtId="3" fontId="34" fillId="0" borderId="38" xfId="80" applyNumberFormat="1" applyFont="1" applyFill="1" applyBorder="1" applyAlignment="1">
      <alignment horizontal="right" vertical="center"/>
      <protection/>
    </xf>
    <xf numFmtId="3" fontId="34" fillId="0" borderId="39" xfId="80" applyNumberFormat="1" applyFont="1" applyFill="1" applyBorder="1" applyAlignment="1">
      <alignment horizontal="right" vertical="center"/>
      <protection/>
    </xf>
    <xf numFmtId="164" fontId="32" fillId="13" borderId="26" xfId="80" applyNumberFormat="1" applyFont="1" applyFill="1" applyBorder="1" applyAlignment="1">
      <alignment horizontal="right" vertical="center"/>
      <protection/>
    </xf>
    <xf numFmtId="164" fontId="39" fillId="13" borderId="26" xfId="80" applyNumberFormat="1" applyFont="1" applyFill="1" applyBorder="1" applyAlignment="1">
      <alignment horizontal="right" vertical="center"/>
      <protection/>
    </xf>
    <xf numFmtId="164" fontId="39" fillId="13" borderId="33" xfId="80" applyNumberFormat="1" applyFont="1" applyFill="1" applyBorder="1" applyAlignment="1">
      <alignment horizontal="right" vertical="center"/>
      <protection/>
    </xf>
    <xf numFmtId="164" fontId="39" fillId="13" borderId="22" xfId="80" applyNumberFormat="1" applyFont="1" applyFill="1" applyBorder="1" applyAlignment="1">
      <alignment horizontal="right" vertical="center"/>
      <protection/>
    </xf>
    <xf numFmtId="3" fontId="36" fillId="19" borderId="40" xfId="66" applyNumberFormat="1" applyFont="1" applyFill="1" applyBorder="1" applyAlignment="1">
      <alignment horizontal="center" vertical="center"/>
      <protection/>
    </xf>
    <xf numFmtId="3" fontId="35" fillId="0" borderId="13" xfId="66" applyNumberFormat="1" applyFont="1" applyFill="1" applyBorder="1" applyAlignment="1">
      <alignment horizontal="center" vertical="center"/>
      <protection/>
    </xf>
    <xf numFmtId="3" fontId="36" fillId="0" borderId="41" xfId="66" applyNumberFormat="1" applyFont="1" applyFill="1" applyBorder="1" applyAlignment="1">
      <alignment horizontal="center" vertical="center"/>
      <protection/>
    </xf>
    <xf numFmtId="3" fontId="36" fillId="0" borderId="42" xfId="66" applyNumberFormat="1" applyFont="1" applyFill="1" applyBorder="1" applyAlignment="1">
      <alignment horizontal="center" vertical="center"/>
      <protection/>
    </xf>
    <xf numFmtId="3" fontId="36" fillId="0" borderId="43" xfId="66" applyNumberFormat="1" applyFont="1" applyFill="1" applyBorder="1" applyAlignment="1">
      <alignment horizontal="center" vertical="center"/>
      <protection/>
    </xf>
    <xf numFmtId="0" fontId="36" fillId="34" borderId="14" xfId="66" applyFont="1" applyFill="1" applyBorder="1" applyAlignment="1">
      <alignment horizontal="center" vertical="center"/>
      <protection/>
    </xf>
    <xf numFmtId="3" fontId="36" fillId="0" borderId="14" xfId="66" applyNumberFormat="1" applyFont="1" applyFill="1" applyBorder="1" applyAlignment="1">
      <alignment horizontal="center" vertical="center"/>
      <protection/>
    </xf>
    <xf numFmtId="3" fontId="36" fillId="0" borderId="44" xfId="66" applyNumberFormat="1" applyFont="1" applyFill="1" applyBorder="1" applyAlignment="1">
      <alignment horizontal="center" vertical="center"/>
      <protection/>
    </xf>
    <xf numFmtId="3" fontId="35" fillId="0" borderId="14" xfId="66" applyNumberFormat="1" applyFont="1" applyFill="1" applyBorder="1" applyAlignment="1">
      <alignment horizontal="center" vertical="center"/>
      <protection/>
    </xf>
    <xf numFmtId="3" fontId="36" fillId="0" borderId="45" xfId="66" applyNumberFormat="1" applyFont="1" applyFill="1" applyBorder="1" applyAlignment="1">
      <alignment horizontal="center" vertical="center"/>
      <protection/>
    </xf>
    <xf numFmtId="3" fontId="12" fillId="34" borderId="27" xfId="66" applyNumberFormat="1" applyFont="1" applyFill="1" applyBorder="1" applyAlignment="1">
      <alignment horizontal="center"/>
      <protection/>
    </xf>
    <xf numFmtId="3" fontId="12" fillId="34" borderId="11" xfId="66" applyNumberFormat="1" applyFont="1" applyFill="1" applyBorder="1" applyAlignment="1">
      <alignment horizontal="center"/>
      <protection/>
    </xf>
    <xf numFmtId="0" fontId="35" fillId="0" borderId="46" xfId="66" applyFont="1" applyFill="1" applyBorder="1" applyAlignment="1">
      <alignment horizontal="left" vertical="center" wrapText="1"/>
      <protection/>
    </xf>
    <xf numFmtId="0" fontId="35" fillId="0" borderId="47" xfId="66" applyFont="1" applyFill="1" applyBorder="1" applyAlignment="1">
      <alignment horizontal="left" vertical="center" wrapText="1"/>
      <protection/>
    </xf>
    <xf numFmtId="0" fontId="35" fillId="0" borderId="48" xfId="66" applyFont="1" applyFill="1" applyBorder="1" applyAlignment="1">
      <alignment vertical="center"/>
      <protection/>
    </xf>
    <xf numFmtId="3" fontId="33" fillId="0" borderId="40" xfId="80" applyNumberFormat="1" applyFont="1" applyFill="1" applyBorder="1" applyAlignment="1">
      <alignment horizontal="right" vertical="center"/>
      <protection/>
    </xf>
    <xf numFmtId="0" fontId="12" fillId="0" borderId="26" xfId="80" applyFont="1" applyFill="1" applyBorder="1" applyAlignment="1">
      <alignment horizontal="center" vertical="center" wrapText="1"/>
      <protection/>
    </xf>
    <xf numFmtId="3" fontId="32" fillId="8" borderId="17" xfId="80" applyNumberFormat="1" applyFont="1" applyFill="1" applyBorder="1" applyAlignment="1">
      <alignment horizontal="right" vertical="center"/>
      <protection/>
    </xf>
    <xf numFmtId="0" fontId="0" fillId="0" borderId="0" xfId="0" applyAlignment="1">
      <alignment wrapText="1"/>
    </xf>
    <xf numFmtId="0" fontId="12" fillId="0" borderId="27" xfId="80" applyFont="1" applyFill="1" applyBorder="1" applyAlignment="1">
      <alignment horizontal="center" vertical="center" wrapText="1"/>
      <protection/>
    </xf>
    <xf numFmtId="3" fontId="34" fillId="0" borderId="0" xfId="80" applyNumberFormat="1" applyFont="1" applyBorder="1" applyAlignment="1">
      <alignment horizontal="left" vertical="center"/>
      <protection/>
    </xf>
    <xf numFmtId="0" fontId="35" fillId="0" borderId="0" xfId="66" applyFont="1" applyAlignment="1">
      <alignment horizontal="right"/>
      <protection/>
    </xf>
    <xf numFmtId="3" fontId="36" fillId="0" borderId="49" xfId="66" applyNumberFormat="1" applyFont="1" applyFill="1" applyBorder="1" applyAlignment="1">
      <alignment horizontal="center" vertical="center"/>
      <protection/>
    </xf>
    <xf numFmtId="3" fontId="35" fillId="0" borderId="8" xfId="66" applyNumberFormat="1" applyFont="1" applyFill="1" applyBorder="1" applyAlignment="1">
      <alignment horizontal="center" vertical="center"/>
      <protection/>
    </xf>
    <xf numFmtId="3" fontId="36" fillId="0" borderId="50" xfId="66" applyNumberFormat="1" applyFont="1" applyFill="1" applyBorder="1" applyAlignment="1">
      <alignment horizontal="center" vertical="center"/>
      <protection/>
    </xf>
    <xf numFmtId="3" fontId="35" fillId="0" borderId="15" xfId="36" applyNumberFormat="1" applyFont="1" applyFill="1" applyBorder="1" applyAlignment="1">
      <alignment horizontal="center" vertical="center"/>
    </xf>
    <xf numFmtId="3" fontId="36" fillId="0" borderId="51" xfId="66" applyNumberFormat="1" applyFont="1" applyFill="1" applyBorder="1" applyAlignment="1">
      <alignment horizontal="center" vertical="center"/>
      <protection/>
    </xf>
    <xf numFmtId="3" fontId="35" fillId="0" borderId="28" xfId="36" applyNumberFormat="1" applyFont="1" applyFill="1" applyBorder="1" applyAlignment="1">
      <alignment horizontal="center" vertical="center"/>
    </xf>
    <xf numFmtId="3" fontId="36" fillId="0" borderId="52" xfId="66" applyNumberFormat="1" applyFont="1" applyFill="1" applyBorder="1" applyAlignment="1">
      <alignment horizontal="center" vertical="center"/>
      <protection/>
    </xf>
    <xf numFmtId="3" fontId="35" fillId="0" borderId="28" xfId="66" applyNumberFormat="1" applyFont="1" applyFill="1" applyBorder="1" applyAlignment="1">
      <alignment horizontal="center" vertical="center"/>
      <protection/>
    </xf>
    <xf numFmtId="3" fontId="36" fillId="0" borderId="53" xfId="66" applyNumberFormat="1" applyFont="1" applyFill="1" applyBorder="1" applyAlignment="1">
      <alignment horizontal="center" vertical="center"/>
      <protection/>
    </xf>
    <xf numFmtId="3" fontId="29" fillId="0" borderId="54" xfId="80" applyNumberFormat="1" applyFont="1" applyFill="1" applyBorder="1" applyAlignment="1">
      <alignment horizontal="right" vertical="center"/>
      <protection/>
    </xf>
    <xf numFmtId="3" fontId="36" fillId="0" borderId="55" xfId="66" applyNumberFormat="1" applyFont="1" applyFill="1" applyBorder="1" applyAlignment="1">
      <alignment horizontal="center" vertical="center"/>
      <protection/>
    </xf>
    <xf numFmtId="3" fontId="29" fillId="0" borderId="40" xfId="80" applyNumberFormat="1" applyFont="1" applyFill="1" applyBorder="1" applyAlignment="1">
      <alignment horizontal="right" vertical="center"/>
      <protection/>
    </xf>
    <xf numFmtId="169" fontId="35" fillId="0" borderId="0" xfId="66" applyNumberFormat="1" applyFont="1">
      <alignment/>
      <protection/>
    </xf>
    <xf numFmtId="4" fontId="35" fillId="0" borderId="15" xfId="66" applyNumberFormat="1" applyFont="1" applyFill="1" applyBorder="1" applyAlignment="1">
      <alignment horizontal="center" vertical="center"/>
      <protection/>
    </xf>
    <xf numFmtId="0" fontId="45" fillId="36" borderId="56" xfId="80" applyFont="1" applyFill="1" applyBorder="1" applyAlignment="1">
      <alignment vertical="center" wrapText="1"/>
      <protection/>
    </xf>
    <xf numFmtId="3" fontId="29" fillId="10" borderId="35" xfId="80" applyNumberFormat="1" applyFont="1" applyFill="1" applyBorder="1" applyAlignment="1">
      <alignment horizontal="right" vertical="center"/>
      <protection/>
    </xf>
    <xf numFmtId="3" fontId="32" fillId="10" borderId="35" xfId="80" applyNumberFormat="1" applyFont="1" applyFill="1" applyBorder="1" applyAlignment="1">
      <alignment horizontal="right" vertical="center"/>
      <protection/>
    </xf>
    <xf numFmtId="3" fontId="29" fillId="10" borderId="57" xfId="80" applyNumberFormat="1" applyFont="1" applyFill="1" applyBorder="1" applyAlignment="1">
      <alignment horizontal="right" vertical="center"/>
      <protection/>
    </xf>
    <xf numFmtId="3" fontId="34" fillId="10" borderId="38" xfId="80" applyNumberFormat="1" applyFont="1" applyFill="1" applyBorder="1" applyAlignment="1">
      <alignment horizontal="right" vertical="center"/>
      <protection/>
    </xf>
    <xf numFmtId="3" fontId="36" fillId="19" borderId="50" xfId="66" applyNumberFormat="1" applyFont="1" applyFill="1" applyBorder="1" applyAlignment="1">
      <alignment horizontal="center" vertical="center"/>
      <protection/>
    </xf>
    <xf numFmtId="3" fontId="36" fillId="19" borderId="53" xfId="66" applyNumberFormat="1" applyFont="1" applyFill="1" applyBorder="1" applyAlignment="1">
      <alignment horizontal="center" vertical="center"/>
      <protection/>
    </xf>
    <xf numFmtId="0" fontId="36" fillId="34" borderId="13" xfId="66" applyFont="1" applyFill="1" applyBorder="1" applyAlignment="1">
      <alignment horizontal="center"/>
      <protection/>
    </xf>
    <xf numFmtId="0" fontId="36" fillId="34" borderId="15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left" vertical="center" wrapText="1"/>
      <protection/>
    </xf>
    <xf numFmtId="3" fontId="36" fillId="0" borderId="36" xfId="66" applyNumberFormat="1" applyFont="1" applyFill="1" applyBorder="1" applyAlignment="1">
      <alignment horizontal="center" vertical="center"/>
      <protection/>
    </xf>
    <xf numFmtId="3" fontId="35" fillId="0" borderId="31" xfId="66" applyNumberFormat="1" applyFont="1" applyFill="1" applyBorder="1" applyAlignment="1">
      <alignment horizontal="center" vertical="center"/>
      <protection/>
    </xf>
    <xf numFmtId="3" fontId="35" fillId="0" borderId="36" xfId="66" applyNumberFormat="1" applyFont="1" applyFill="1" applyBorder="1" applyAlignment="1">
      <alignment horizontal="center" vertical="center"/>
      <protection/>
    </xf>
    <xf numFmtId="3" fontId="35" fillId="0" borderId="30" xfId="66" applyNumberFormat="1" applyFont="1" applyFill="1" applyBorder="1" applyAlignment="1">
      <alignment horizontal="center" vertical="center"/>
      <protection/>
    </xf>
    <xf numFmtId="3" fontId="36" fillId="0" borderId="32" xfId="66" applyNumberFormat="1" applyFont="1" applyFill="1" applyBorder="1" applyAlignment="1">
      <alignment horizontal="center" vertical="center"/>
      <protection/>
    </xf>
    <xf numFmtId="3" fontId="35" fillId="19" borderId="36" xfId="66" applyNumberFormat="1" applyFont="1" applyFill="1" applyBorder="1" applyAlignment="1">
      <alignment horizontal="center" vertical="center"/>
      <protection/>
    </xf>
    <xf numFmtId="3" fontId="36" fillId="19" borderId="36" xfId="66" applyNumberFormat="1" applyFont="1" applyFill="1" applyBorder="1" applyAlignment="1">
      <alignment horizontal="center" vertical="center"/>
      <protection/>
    </xf>
    <xf numFmtId="0" fontId="35" fillId="0" borderId="12" xfId="66" applyFont="1" applyFill="1" applyBorder="1" applyAlignment="1">
      <alignment horizontal="left" vertical="center" wrapText="1"/>
      <protection/>
    </xf>
    <xf numFmtId="3" fontId="36" fillId="0" borderId="40" xfId="66" applyNumberFormat="1" applyFont="1" applyFill="1" applyBorder="1" applyAlignment="1">
      <alignment horizontal="center" vertical="center"/>
      <protection/>
    </xf>
    <xf numFmtId="3" fontId="35" fillId="0" borderId="40" xfId="66" applyNumberFormat="1" applyFont="1" applyFill="1" applyBorder="1" applyAlignment="1">
      <alignment horizontal="center" vertical="center"/>
      <protection/>
    </xf>
    <xf numFmtId="3" fontId="35" fillId="0" borderId="12" xfId="66" applyNumberFormat="1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left" vertical="center" wrapText="1"/>
      <protection/>
    </xf>
    <xf numFmtId="3" fontId="35" fillId="0" borderId="18" xfId="66" applyNumberFormat="1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left" vertical="center" wrapText="1"/>
      <protection/>
    </xf>
    <xf numFmtId="3" fontId="35" fillId="0" borderId="53" xfId="66" applyNumberFormat="1" applyFont="1" applyFill="1" applyBorder="1" applyAlignment="1">
      <alignment horizontal="center" vertical="center"/>
      <protection/>
    </xf>
    <xf numFmtId="3" fontId="35" fillId="19" borderId="53" xfId="66" applyNumberFormat="1" applyFont="1" applyFill="1" applyBorder="1" applyAlignment="1">
      <alignment horizontal="center" vertical="center"/>
      <protection/>
    </xf>
    <xf numFmtId="3" fontId="35" fillId="0" borderId="52" xfId="66" applyNumberFormat="1" applyFont="1" applyFill="1" applyBorder="1" applyAlignment="1">
      <alignment horizontal="center" vertical="center"/>
      <protection/>
    </xf>
    <xf numFmtId="0" fontId="36" fillId="34" borderId="17" xfId="66" applyFont="1" applyFill="1" applyBorder="1" applyAlignment="1">
      <alignment horizontal="center"/>
      <protection/>
    </xf>
    <xf numFmtId="0" fontId="36" fillId="34" borderId="16" xfId="66" applyFont="1" applyFill="1" applyBorder="1" applyAlignment="1">
      <alignment horizontal="center"/>
      <protection/>
    </xf>
    <xf numFmtId="0" fontId="36" fillId="34" borderId="25" xfId="66" applyFont="1" applyFill="1" applyBorder="1" applyAlignment="1">
      <alignment horizontal="center"/>
      <protection/>
    </xf>
    <xf numFmtId="3" fontId="61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33" fillId="10" borderId="13" xfId="80" applyNumberFormat="1" applyFont="1" applyFill="1" applyBorder="1" applyAlignment="1">
      <alignment horizontal="right" vertical="center"/>
      <protection/>
    </xf>
    <xf numFmtId="3" fontId="29" fillId="10" borderId="54" xfId="80" applyNumberFormat="1" applyFont="1" applyFill="1" applyBorder="1" applyAlignment="1">
      <alignment horizontal="right" vertical="center"/>
      <protection/>
    </xf>
    <xf numFmtId="3" fontId="62" fillId="0" borderId="0" xfId="57" applyNumberFormat="1" applyFont="1" applyFill="1" applyAlignment="1">
      <alignment horizontal="center" vertical="center"/>
      <protection/>
    </xf>
    <xf numFmtId="3" fontId="61" fillId="0" borderId="15" xfId="57" applyNumberFormat="1" applyFont="1" applyFill="1" applyBorder="1" applyAlignment="1">
      <alignment horizontal="center" vertical="center"/>
      <protection/>
    </xf>
    <xf numFmtId="3" fontId="36" fillId="19" borderId="15" xfId="66" applyNumberFormat="1" applyFont="1" applyFill="1" applyBorder="1" applyAlignment="1">
      <alignment horizontal="center" vertical="center"/>
      <protection/>
    </xf>
    <xf numFmtId="3" fontId="62" fillId="19" borderId="53" xfId="57" applyNumberFormat="1" applyFont="1" applyFill="1" applyBorder="1" applyAlignment="1">
      <alignment horizontal="center" vertical="center"/>
      <protection/>
    </xf>
    <xf numFmtId="3" fontId="36" fillId="19" borderId="35" xfId="66" applyNumberFormat="1" applyFont="1" applyFill="1" applyBorder="1" applyAlignment="1">
      <alignment horizontal="center" vertical="center"/>
      <protection/>
    </xf>
    <xf numFmtId="3" fontId="36" fillId="37" borderId="18" xfId="66" applyNumberFormat="1" applyFont="1" applyFill="1" applyBorder="1" applyAlignment="1">
      <alignment horizontal="center" vertical="center"/>
      <protection/>
    </xf>
    <xf numFmtId="0" fontId="63" fillId="11" borderId="56" xfId="80" applyFont="1" applyFill="1" applyBorder="1" applyAlignment="1">
      <alignment vertical="center" wrapText="1"/>
      <protection/>
    </xf>
    <xf numFmtId="3" fontId="29" fillId="0" borderId="57" xfId="80" applyNumberFormat="1" applyFont="1" applyFill="1" applyBorder="1" applyAlignment="1">
      <alignment horizontal="right" vertical="center"/>
      <protection/>
    </xf>
    <xf numFmtId="0" fontId="12" fillId="10" borderId="33" xfId="80" applyFont="1" applyFill="1" applyBorder="1" applyAlignment="1">
      <alignment horizontal="center" vertical="center" wrapText="1"/>
      <protection/>
    </xf>
    <xf numFmtId="3" fontId="32" fillId="10" borderId="15" xfId="80" applyNumberFormat="1" applyFont="1" applyFill="1" applyBorder="1" applyAlignment="1">
      <alignment horizontal="right" vertical="center"/>
      <protection/>
    </xf>
    <xf numFmtId="0" fontId="35" fillId="18" borderId="46" xfId="66" applyFont="1" applyFill="1" applyBorder="1" applyAlignment="1">
      <alignment vertical="center"/>
      <protection/>
    </xf>
    <xf numFmtId="165" fontId="36" fillId="0" borderId="15" xfId="6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6" fillId="0" borderId="16" xfId="66" applyNumberFormat="1" applyFont="1" applyFill="1" applyBorder="1" applyAlignment="1">
      <alignment horizontal="center" vertical="center"/>
      <protection/>
    </xf>
    <xf numFmtId="3" fontId="36" fillId="0" borderId="17" xfId="66" applyNumberFormat="1" applyFont="1" applyFill="1" applyBorder="1" applyAlignment="1">
      <alignment horizontal="center" vertical="center"/>
      <protection/>
    </xf>
    <xf numFmtId="4" fontId="36" fillId="0" borderId="15" xfId="66" applyNumberFormat="1" applyFont="1" applyFill="1" applyBorder="1" applyAlignment="1">
      <alignment horizontal="center" vertical="center"/>
      <protection/>
    </xf>
    <xf numFmtId="3" fontId="33" fillId="10" borderId="35" xfId="80" applyNumberFormat="1" applyFont="1" applyFill="1" applyBorder="1" applyAlignment="1">
      <alignment horizontal="right" vertical="center"/>
      <protection/>
    </xf>
    <xf numFmtId="3" fontId="33" fillId="0" borderId="18" xfId="80" applyNumberFormat="1" applyFont="1" applyFill="1" applyBorder="1" applyAlignment="1">
      <alignment horizontal="right" vertical="center"/>
      <protection/>
    </xf>
    <xf numFmtId="0" fontId="61" fillId="0" borderId="58" xfId="0" applyFont="1" applyFill="1" applyBorder="1" applyAlignment="1">
      <alignment/>
    </xf>
    <xf numFmtId="0" fontId="61" fillId="0" borderId="46" xfId="0" applyFont="1" applyFill="1" applyBorder="1" applyAlignment="1">
      <alignment/>
    </xf>
    <xf numFmtId="0" fontId="61" fillId="0" borderId="59" xfId="0" applyFont="1" applyFill="1" applyBorder="1" applyAlignment="1">
      <alignment/>
    </xf>
    <xf numFmtId="3" fontId="36" fillId="15" borderId="15" xfId="66" applyNumberFormat="1" applyFont="1" applyFill="1" applyBorder="1" applyAlignment="1">
      <alignment horizontal="center" vertical="center"/>
      <protection/>
    </xf>
    <xf numFmtId="3" fontId="36" fillId="15" borderId="42" xfId="66" applyNumberFormat="1" applyFont="1" applyFill="1" applyBorder="1" applyAlignment="1">
      <alignment horizontal="center" vertical="center"/>
      <protection/>
    </xf>
    <xf numFmtId="3" fontId="35" fillId="15" borderId="15" xfId="66" applyNumberFormat="1" applyFont="1" applyFill="1" applyBorder="1" applyAlignment="1">
      <alignment horizontal="center" vertical="center"/>
      <protection/>
    </xf>
    <xf numFmtId="3" fontId="36" fillId="15" borderId="18" xfId="66" applyNumberFormat="1" applyFont="1" applyFill="1" applyBorder="1" applyAlignment="1">
      <alignment horizontal="center" vertical="center"/>
      <protection/>
    </xf>
    <xf numFmtId="3" fontId="36" fillId="38" borderId="36" xfId="66" applyNumberFormat="1" applyFont="1" applyFill="1" applyBorder="1" applyAlignment="1">
      <alignment horizontal="center" vertical="center"/>
      <protection/>
    </xf>
    <xf numFmtId="3" fontId="36" fillId="15" borderId="53" xfId="66" applyNumberFormat="1" applyFont="1" applyFill="1" applyBorder="1" applyAlignment="1">
      <alignment horizontal="center" vertical="center"/>
      <protection/>
    </xf>
    <xf numFmtId="3" fontId="36" fillId="15" borderId="51" xfId="66" applyNumberFormat="1" applyFont="1" applyFill="1" applyBorder="1" applyAlignment="1">
      <alignment horizontal="center" vertical="center"/>
      <protection/>
    </xf>
    <xf numFmtId="3" fontId="35" fillId="15" borderId="28" xfId="66" applyNumberFormat="1" applyFont="1" applyFill="1" applyBorder="1" applyAlignment="1">
      <alignment horizontal="center" vertical="center"/>
      <protection/>
    </xf>
    <xf numFmtId="0" fontId="35" fillId="15" borderId="46" xfId="66" applyFont="1" applyFill="1" applyBorder="1" applyAlignment="1">
      <alignment horizontal="left" vertical="center" wrapText="1"/>
      <protection/>
    </xf>
    <xf numFmtId="3" fontId="36" fillId="37" borderId="35" xfId="66" applyNumberFormat="1" applyFont="1" applyFill="1" applyBorder="1" applyAlignment="1">
      <alignment horizontal="center" vertical="center"/>
      <protection/>
    </xf>
    <xf numFmtId="3" fontId="36" fillId="38" borderId="35" xfId="66" applyNumberFormat="1" applyFont="1" applyFill="1" applyBorder="1" applyAlignment="1">
      <alignment horizontal="center" vertical="center"/>
      <protection/>
    </xf>
    <xf numFmtId="3" fontId="36" fillId="0" borderId="60" xfId="66" applyNumberFormat="1" applyFont="1" applyFill="1" applyBorder="1" applyAlignment="1">
      <alignment horizontal="center" vertical="center"/>
      <protection/>
    </xf>
    <xf numFmtId="3" fontId="36" fillId="0" borderId="57" xfId="66" applyNumberFormat="1" applyFont="1" applyFill="1" applyBorder="1" applyAlignment="1">
      <alignment horizontal="center" vertical="center"/>
      <protection/>
    </xf>
    <xf numFmtId="3" fontId="36" fillId="19" borderId="61" xfId="66" applyNumberFormat="1" applyFont="1" applyFill="1" applyBorder="1" applyAlignment="1">
      <alignment horizontal="center" vertical="center"/>
      <protection/>
    </xf>
    <xf numFmtId="3" fontId="36" fillId="19" borderId="60" xfId="66" applyNumberFormat="1" applyFont="1" applyFill="1" applyBorder="1" applyAlignment="1">
      <alignment horizontal="center" vertical="center"/>
      <protection/>
    </xf>
    <xf numFmtId="3" fontId="36" fillId="0" borderId="47" xfId="66" applyNumberFormat="1" applyFont="1" applyFill="1" applyBorder="1" applyAlignment="1">
      <alignment horizontal="center" vertical="center"/>
      <protection/>
    </xf>
    <xf numFmtId="3" fontId="36" fillId="0" borderId="48" xfId="66" applyNumberFormat="1" applyFont="1" applyFill="1" applyBorder="1" applyAlignment="1">
      <alignment horizontal="center" vertical="center"/>
      <protection/>
    </xf>
    <xf numFmtId="0" fontId="36" fillId="12" borderId="62" xfId="66" applyFont="1" applyFill="1" applyBorder="1" applyAlignment="1">
      <alignment horizontal="center" vertical="center"/>
      <protection/>
    </xf>
    <xf numFmtId="0" fontId="36" fillId="12" borderId="63" xfId="66" applyFont="1" applyFill="1" applyBorder="1" applyAlignment="1">
      <alignment horizontal="center"/>
      <protection/>
    </xf>
    <xf numFmtId="3" fontId="12" fillId="12" borderId="33" xfId="66" applyNumberFormat="1" applyFont="1" applyFill="1" applyBorder="1" applyAlignment="1">
      <alignment horizontal="center"/>
      <protection/>
    </xf>
    <xf numFmtId="3" fontId="37" fillId="12" borderId="29" xfId="66" applyNumberFormat="1" applyFont="1" applyFill="1" applyBorder="1" applyAlignment="1">
      <alignment horizontal="center"/>
      <protection/>
    </xf>
    <xf numFmtId="3" fontId="36" fillId="12" borderId="26" xfId="66" applyNumberFormat="1" applyFont="1" applyFill="1" applyBorder="1" applyAlignment="1">
      <alignment horizontal="center"/>
      <protection/>
    </xf>
    <xf numFmtId="3" fontId="36" fillId="39" borderId="35" xfId="66" applyNumberFormat="1" applyFont="1" applyFill="1" applyBorder="1" applyAlignment="1">
      <alignment horizontal="center" vertical="center"/>
      <protection/>
    </xf>
    <xf numFmtId="3" fontId="36" fillId="15" borderId="35" xfId="66" applyNumberFormat="1" applyFont="1" applyFill="1" applyBorder="1" applyAlignment="1">
      <alignment horizontal="center" vertical="center"/>
      <protection/>
    </xf>
    <xf numFmtId="3" fontId="36" fillId="12" borderId="64" xfId="66" applyNumberFormat="1" applyFont="1" applyFill="1" applyBorder="1" applyAlignment="1">
      <alignment horizontal="center" vertical="center"/>
      <protection/>
    </xf>
    <xf numFmtId="3" fontId="36" fillId="12" borderId="46" xfId="66" applyNumberFormat="1" applyFont="1" applyFill="1" applyBorder="1" applyAlignment="1">
      <alignment horizontal="center" vertical="center"/>
      <protection/>
    </xf>
    <xf numFmtId="3" fontId="36" fillId="12" borderId="58" xfId="66" applyNumberFormat="1" applyFont="1" applyFill="1" applyBorder="1" applyAlignment="1">
      <alignment horizontal="center" vertical="center"/>
      <protection/>
    </xf>
    <xf numFmtId="3" fontId="36" fillId="12" borderId="59" xfId="66" applyNumberFormat="1" applyFont="1" applyFill="1" applyBorder="1" applyAlignment="1">
      <alignment horizontal="center" vertical="center"/>
      <protection/>
    </xf>
    <xf numFmtId="3" fontId="62" fillId="12" borderId="59" xfId="57" applyNumberFormat="1" applyFont="1" applyFill="1" applyBorder="1" applyAlignment="1">
      <alignment horizontal="center" vertical="center"/>
      <protection/>
    </xf>
    <xf numFmtId="3" fontId="36" fillId="12" borderId="65" xfId="66" applyNumberFormat="1" applyFont="1" applyFill="1" applyBorder="1" applyAlignment="1">
      <alignment horizontal="center" vertical="center"/>
      <protection/>
    </xf>
    <xf numFmtId="0" fontId="41" fillId="0" borderId="0" xfId="66" applyFont="1">
      <alignment/>
      <protection/>
    </xf>
    <xf numFmtId="3" fontId="35" fillId="40" borderId="15" xfId="66" applyNumberFormat="1" applyFont="1" applyFill="1" applyBorder="1" applyAlignment="1">
      <alignment horizontal="center" vertical="center"/>
      <protection/>
    </xf>
    <xf numFmtId="3" fontId="36" fillId="15" borderId="46" xfId="66" applyNumberFormat="1" applyFont="1" applyFill="1" applyBorder="1" applyAlignment="1">
      <alignment horizontal="center" vertical="center"/>
      <protection/>
    </xf>
    <xf numFmtId="3" fontId="36" fillId="41" borderId="35" xfId="66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28" fillId="0" borderId="49" xfId="80" applyFont="1" applyBorder="1" applyAlignment="1">
      <alignment vertical="center"/>
      <protection/>
    </xf>
    <xf numFmtId="0" fontId="28" fillId="0" borderId="8" xfId="80" applyFont="1" applyBorder="1" applyAlignment="1">
      <alignment vertical="center"/>
      <protection/>
    </xf>
    <xf numFmtId="0" fontId="28" fillId="0" borderId="61" xfId="80" applyFont="1" applyBorder="1" applyAlignment="1">
      <alignment vertical="center"/>
      <protection/>
    </xf>
    <xf numFmtId="0" fontId="43" fillId="0" borderId="66" xfId="80" applyFont="1" applyBorder="1" applyAlignment="1">
      <alignment horizontal="center" vertical="center" wrapText="1"/>
      <protection/>
    </xf>
    <xf numFmtId="0" fontId="43" fillId="0" borderId="29" xfId="80" applyFont="1" applyBorder="1" applyAlignment="1">
      <alignment horizontal="center" vertical="center" wrapText="1"/>
      <protection/>
    </xf>
    <xf numFmtId="0" fontId="43" fillId="0" borderId="27" xfId="80" applyFont="1" applyBorder="1" applyAlignment="1">
      <alignment horizontal="center" vertical="center" wrapText="1"/>
      <protection/>
    </xf>
    <xf numFmtId="0" fontId="28" fillId="0" borderId="26" xfId="80" applyFont="1" applyBorder="1" applyAlignment="1">
      <alignment vertical="center"/>
      <protection/>
    </xf>
    <xf numFmtId="0" fontId="28" fillId="0" borderId="33" xfId="80" applyFont="1" applyBorder="1" applyAlignment="1">
      <alignment vertical="center"/>
      <protection/>
    </xf>
    <xf numFmtId="0" fontId="45" fillId="34" borderId="56" xfId="80" applyFont="1" applyFill="1" applyBorder="1" applyAlignment="1">
      <alignment horizontal="center" vertical="center" wrapText="1"/>
      <protection/>
    </xf>
    <xf numFmtId="0" fontId="45" fillId="36" borderId="56" xfId="80" applyFont="1" applyFill="1" applyBorder="1" applyAlignment="1">
      <alignment horizontal="center" vertical="center" wrapText="1"/>
      <protection/>
    </xf>
    <xf numFmtId="0" fontId="36" fillId="34" borderId="15" xfId="66" applyFont="1" applyFill="1" applyBorder="1" applyAlignment="1">
      <alignment horizontal="center" vertical="center"/>
      <protection/>
    </xf>
    <xf numFmtId="0" fontId="36" fillId="34" borderId="18" xfId="66" applyFont="1" applyFill="1" applyBorder="1" applyAlignment="1">
      <alignment horizontal="center" vertical="center"/>
      <protection/>
    </xf>
    <xf numFmtId="0" fontId="36" fillId="0" borderId="0" xfId="66" applyFont="1" applyFill="1" applyAlignment="1">
      <alignment horizontal="center" vertical="center"/>
      <protection/>
    </xf>
    <xf numFmtId="0" fontId="36" fillId="34" borderId="12" xfId="66" applyFont="1" applyFill="1" applyBorder="1" applyAlignment="1">
      <alignment horizontal="center" vertical="center" wrapText="1"/>
      <protection/>
    </xf>
    <xf numFmtId="0" fontId="36" fillId="34" borderId="14" xfId="66" applyFont="1" applyFill="1" applyBorder="1" applyAlignment="1">
      <alignment horizontal="center" vertical="center" wrapText="1"/>
      <protection/>
    </xf>
    <xf numFmtId="0" fontId="36" fillId="34" borderId="16" xfId="66" applyFont="1" applyFill="1" applyBorder="1" applyAlignment="1">
      <alignment horizontal="center" vertical="center" wrapText="1"/>
      <protection/>
    </xf>
    <xf numFmtId="0" fontId="36" fillId="34" borderId="67" xfId="66" applyFont="1" applyFill="1" applyBorder="1" applyAlignment="1">
      <alignment horizontal="center"/>
      <protection/>
    </xf>
    <xf numFmtId="0" fontId="36" fillId="34" borderId="68" xfId="66" applyFont="1" applyFill="1" applyBorder="1" applyAlignment="1">
      <alignment horizontal="center"/>
      <protection/>
    </xf>
    <xf numFmtId="0" fontId="36" fillId="34" borderId="69" xfId="66" applyFont="1" applyFill="1" applyBorder="1" applyAlignment="1">
      <alignment horizontal="center"/>
      <protection/>
    </xf>
    <xf numFmtId="0" fontId="36" fillId="34" borderId="12" xfId="66" applyFont="1" applyFill="1" applyBorder="1" applyAlignment="1">
      <alignment horizontal="center"/>
      <protection/>
    </xf>
    <xf numFmtId="0" fontId="36" fillId="34" borderId="13" xfId="66" applyFont="1" applyFill="1" applyBorder="1" applyAlignment="1">
      <alignment horizontal="center"/>
      <protection/>
    </xf>
    <xf numFmtId="0" fontId="36" fillId="34" borderId="40" xfId="66" applyFont="1" applyFill="1" applyBorder="1" applyAlignment="1">
      <alignment horizontal="center"/>
      <protection/>
    </xf>
    <xf numFmtId="0" fontId="36" fillId="34" borderId="35" xfId="66" applyFont="1" applyFill="1" applyBorder="1" applyAlignment="1">
      <alignment horizontal="center" vertical="center"/>
      <protection/>
    </xf>
    <xf numFmtId="0" fontId="36" fillId="34" borderId="70" xfId="66" applyFont="1" applyFill="1" applyBorder="1" applyAlignment="1">
      <alignment horizontal="center" vertical="center"/>
      <protection/>
    </xf>
  </cellXfs>
  <cellStyles count="9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4" xfId="37"/>
    <cellStyle name="čárky 5" xfId="38"/>
    <cellStyle name="Comma [0]" xfId="39"/>
    <cellStyle name="Kontrolní buňka" xfId="40"/>
    <cellStyle name="Currency" xfId="41"/>
    <cellStyle name="měny 2" xfId="42"/>
    <cellStyle name="měny 3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10" xfId="51"/>
    <cellStyle name="normální 10 2" xfId="52"/>
    <cellStyle name="normální 10 3" xfId="53"/>
    <cellStyle name="normální 10 3 2" xfId="54"/>
    <cellStyle name="normální 10 3 2 2" xfId="55"/>
    <cellStyle name="normální 10 3 2 3" xfId="56"/>
    <cellStyle name="normální 11" xfId="57"/>
    <cellStyle name="Normální 12" xfId="58"/>
    <cellStyle name="Normální 13" xfId="59"/>
    <cellStyle name="normální 14" xfId="60"/>
    <cellStyle name="normální 14 2" xfId="61"/>
    <cellStyle name="normální 15" xfId="62"/>
    <cellStyle name="normální 15 2" xfId="63"/>
    <cellStyle name="normální 2" xfId="64"/>
    <cellStyle name="normální 2 2" xfId="65"/>
    <cellStyle name="normální 2 2_162 FINANCOVÁNÍ INVESTIČNÍCH A NEINVESTIČNÍCH AKCÍ v3" xfId="66"/>
    <cellStyle name="normální 2_162 FINANCOVÁNÍ INVESTIČNÍCH A NEINVESTIČNÍCH AKCÍ v3" xfId="67"/>
    <cellStyle name="normální 3" xfId="68"/>
    <cellStyle name="normální 3 2" xfId="69"/>
    <cellStyle name="normální 3 3" xfId="70"/>
    <cellStyle name="normální 3 4" xfId="71"/>
    <cellStyle name="normální 3 4 2" xfId="72"/>
    <cellStyle name="normální 3 4 2 2" xfId="73"/>
    <cellStyle name="normální 3 5" xfId="74"/>
    <cellStyle name="normální 4" xfId="75"/>
    <cellStyle name="normální 4 2" xfId="76"/>
    <cellStyle name="normální 4 2 2" xfId="77"/>
    <cellStyle name="normální 4 2 3" xfId="78"/>
    <cellStyle name="normální 4 2 4" xfId="79"/>
    <cellStyle name="normální 4 2 5" xfId="80"/>
    <cellStyle name="normální 4 2_výhled dle souč.výdajů 06_10_2011 upr. o uspory(OMM,ORI)" xfId="81"/>
    <cellStyle name="normální 4_162 FINANCOVÁNÍ INVESTIČNÍCH A NEINVESTIČNÍCH AKCÍ v3" xfId="82"/>
    <cellStyle name="normální 5" xfId="83"/>
    <cellStyle name="normální 6" xfId="84"/>
    <cellStyle name="normální 7" xfId="85"/>
    <cellStyle name="normální 8" xfId="86"/>
    <cellStyle name="Normální 9" xfId="87"/>
    <cellStyle name="Poznámka" xfId="88"/>
    <cellStyle name="procent 2" xfId="89"/>
    <cellStyle name="procent 3" xfId="90"/>
    <cellStyle name="procent 4" xfId="91"/>
    <cellStyle name="procent 5" xfId="92"/>
    <cellStyle name="procent 5 2" xfId="93"/>
    <cellStyle name="Percent" xfId="94"/>
    <cellStyle name="Procenta 2" xfId="95"/>
    <cellStyle name="Procenta 2 2" xfId="96"/>
    <cellStyle name="Propojená buňka" xfId="97"/>
    <cellStyle name="Správně" xfId="98"/>
    <cellStyle name="Špatně" xfId="99"/>
    <cellStyle name="Text upozornění" xfId="100"/>
    <cellStyle name="VELKÁ" xfId="101"/>
    <cellStyle name="VELKÁ PÍSMENA" xfId="102"/>
    <cellStyle name="Vstup" xfId="103"/>
    <cellStyle name="Výpočet" xfId="104"/>
    <cellStyle name="Výstup" xfId="105"/>
    <cellStyle name="Vysvětlující text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Q35" sqref="Q35"/>
    </sheetView>
  </sheetViews>
  <sheetFormatPr defaultColWidth="9.140625" defaultRowHeight="15"/>
  <cols>
    <col min="1" max="1" width="3.7109375" style="22" customWidth="1"/>
    <col min="2" max="2" width="9.7109375" style="22" customWidth="1"/>
    <col min="3" max="3" width="37.8515625" style="23" customWidth="1"/>
    <col min="4" max="4" width="15.00390625" style="0" hidden="1" customWidth="1"/>
    <col min="5" max="7" width="13.421875" style="0" bestFit="1" customWidth="1"/>
    <col min="8" max="8" width="13.57421875" style="0" customWidth="1"/>
    <col min="9" max="9" width="15.00390625" style="0" customWidth="1"/>
    <col min="10" max="12" width="13.57421875" style="0" customWidth="1"/>
    <col min="14" max="14" width="14.00390625" style="0" customWidth="1"/>
  </cols>
  <sheetData>
    <row r="1" spans="1:11" ht="27.75" customHeight="1">
      <c r="A1" s="257" t="s">
        <v>93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9" s="149" customFormat="1" ht="27.75" customHeight="1" thickBot="1">
      <c r="A2" s="266" t="s">
        <v>127</v>
      </c>
      <c r="B2" s="266"/>
      <c r="C2" s="266"/>
      <c r="D2" s="167"/>
      <c r="E2" s="267" t="s">
        <v>68</v>
      </c>
      <c r="F2" s="267"/>
      <c r="G2" s="267"/>
      <c r="H2" s="267"/>
      <c r="I2" s="207" t="s">
        <v>94</v>
      </c>
    </row>
    <row r="3" spans="1:12" ht="39" thickBot="1">
      <c r="A3" s="261"/>
      <c r="B3" s="262"/>
      <c r="C3" s="263"/>
      <c r="D3" s="150" t="s">
        <v>40</v>
      </c>
      <c r="E3" s="150" t="s">
        <v>58</v>
      </c>
      <c r="F3" s="147" t="s">
        <v>66</v>
      </c>
      <c r="G3" s="147" t="s">
        <v>69</v>
      </c>
      <c r="H3" s="147" t="s">
        <v>88</v>
      </c>
      <c r="I3" s="147" t="s">
        <v>95</v>
      </c>
      <c r="J3" s="209" t="s">
        <v>97</v>
      </c>
      <c r="K3" s="30" t="s">
        <v>67</v>
      </c>
      <c r="L3" s="30" t="s">
        <v>96</v>
      </c>
    </row>
    <row r="4" spans="1:12" ht="18" thickBot="1">
      <c r="A4" s="1" t="s">
        <v>0</v>
      </c>
      <c r="B4" s="264" t="s">
        <v>1</v>
      </c>
      <c r="C4" s="265"/>
      <c r="D4" s="96">
        <f>361160</f>
        <v>361160</v>
      </c>
      <c r="E4" s="96">
        <f>D24</f>
        <v>395666.19999999995</v>
      </c>
      <c r="F4" s="97">
        <f>E24</f>
        <v>457720.66428999975</v>
      </c>
      <c r="G4" s="98">
        <f>F24</f>
        <v>294850.8642899997</v>
      </c>
      <c r="H4" s="97">
        <v>467846.27387</v>
      </c>
      <c r="I4" s="97">
        <v>522450.01599</v>
      </c>
      <c r="J4" s="99">
        <f>I24</f>
        <v>61586.41026999988</v>
      </c>
      <c r="K4" s="100">
        <f>J24</f>
        <v>28679.211929999758</v>
      </c>
      <c r="L4" s="100">
        <f>K24</f>
        <v>26341.471929999767</v>
      </c>
    </row>
    <row r="5" spans="1:12" ht="16.5" thickBot="1">
      <c r="A5" s="258" t="s">
        <v>2</v>
      </c>
      <c r="B5" s="259"/>
      <c r="C5" s="260"/>
      <c r="D5" s="101"/>
      <c r="E5" s="101"/>
      <c r="F5" s="102"/>
      <c r="G5" s="103"/>
      <c r="H5" s="103"/>
      <c r="I5" s="103"/>
      <c r="J5" s="103"/>
      <c r="K5" s="103"/>
      <c r="L5" s="103"/>
    </row>
    <row r="6" spans="1:12" ht="15">
      <c r="A6" s="2" t="s">
        <v>3</v>
      </c>
      <c r="B6" s="3" t="s">
        <v>4</v>
      </c>
      <c r="C6" s="4" t="s">
        <v>5</v>
      </c>
      <c r="D6" s="104">
        <v>765846</v>
      </c>
      <c r="E6" s="104">
        <v>747919.96584</v>
      </c>
      <c r="F6" s="104">
        <v>749598</v>
      </c>
      <c r="G6" s="104">
        <f>340313.66912+257303.33894+127463.40445+77644.50441</f>
        <v>802724.91692</v>
      </c>
      <c r="H6" s="104">
        <v>869838.11664</v>
      </c>
      <c r="I6" s="162">
        <f>891687.11+10000</f>
        <v>901687.11</v>
      </c>
      <c r="J6" s="200">
        <v>944100</v>
      </c>
      <c r="K6" s="164">
        <f>J6*1.02</f>
        <v>962982</v>
      </c>
      <c r="L6" s="164">
        <f>K6*1.02</f>
        <v>982241.64</v>
      </c>
    </row>
    <row r="7" spans="1:13" ht="15">
      <c r="A7" s="5" t="s">
        <v>6</v>
      </c>
      <c r="B7" s="6" t="s">
        <v>7</v>
      </c>
      <c r="C7" s="7" t="s">
        <v>8</v>
      </c>
      <c r="D7" s="24">
        <v>104809</v>
      </c>
      <c r="E7" s="24">
        <v>137684.99671</v>
      </c>
      <c r="F7" s="24">
        <v>151418</v>
      </c>
      <c r="G7" s="24">
        <f>105894.40518+30458.68514+32074.28687+1181.97821</f>
        <v>169609.35540000003</v>
      </c>
      <c r="H7" s="24">
        <v>123187.78068</v>
      </c>
      <c r="I7" s="105">
        <f>127145.97+10883.04+1599.8</f>
        <v>139628.81</v>
      </c>
      <c r="J7" s="168">
        <f>104865+10500</f>
        <v>115365</v>
      </c>
      <c r="K7" s="106">
        <v>110000</v>
      </c>
      <c r="L7" s="106">
        <v>110000</v>
      </c>
      <c r="M7" s="84"/>
    </row>
    <row r="8" spans="1:12" ht="15">
      <c r="A8" s="5" t="s">
        <v>9</v>
      </c>
      <c r="B8" s="6" t="s">
        <v>10</v>
      </c>
      <c r="C8" s="7" t="s">
        <v>11</v>
      </c>
      <c r="D8" s="24">
        <v>38907</v>
      </c>
      <c r="E8" s="24">
        <v>38778.538</v>
      </c>
      <c r="F8" s="24">
        <v>47827</v>
      </c>
      <c r="G8" s="24">
        <v>94198.11164</v>
      </c>
      <c r="H8" s="24">
        <v>32799.755</v>
      </c>
      <c r="I8" s="105">
        <v>29500</v>
      </c>
      <c r="J8" s="168">
        <v>20900</v>
      </c>
      <c r="K8" s="106">
        <v>15000</v>
      </c>
      <c r="L8" s="106">
        <v>15000</v>
      </c>
    </row>
    <row r="9" spans="1:14" ht="15">
      <c r="A9" s="5" t="s">
        <v>12</v>
      </c>
      <c r="B9" s="6" t="s">
        <v>13</v>
      </c>
      <c r="C9" s="7" t="s">
        <v>41</v>
      </c>
      <c r="D9" s="24">
        <v>361519</v>
      </c>
      <c r="E9" s="24">
        <v>131281.775</v>
      </c>
      <c r="F9" s="24">
        <v>194817</v>
      </c>
      <c r="G9" s="24">
        <f>78119.92208+108424.52068</f>
        <v>186544.44276</v>
      </c>
      <c r="H9" s="24">
        <f>165611.97417-67596.13633</f>
        <v>98015.83784000001</v>
      </c>
      <c r="I9" s="24">
        <f>159908.59+'Inv.a neinv.akce 2018-2021'!N62-37329.963</f>
        <v>175286.27857000002</v>
      </c>
      <c r="J9" s="168">
        <f>55792+15500+'Inv.a neinv.akce 2018-2021'!R62</f>
        <v>307189.20566</v>
      </c>
      <c r="K9" s="106">
        <f>(J9-'Inv.a neinv.akce 2018-2021'!R62-15500)*1.05+5500+'Inv.a neinv.akce 2018-2021'!U62</f>
        <v>161263.882</v>
      </c>
      <c r="L9" s="106">
        <f>(K9-'Inv.a neinv.akce 2018-2021'!U62-5500)*1.05+5500+'Inv.a neinv.akce 2018-2021'!X62</f>
        <v>124560.68000000001</v>
      </c>
      <c r="N9" s="84"/>
    </row>
    <row r="10" spans="1:14" ht="17.25">
      <c r="A10" s="8" t="s">
        <v>14</v>
      </c>
      <c r="B10" s="74" t="s">
        <v>15</v>
      </c>
      <c r="C10" s="10" t="s">
        <v>16</v>
      </c>
      <c r="D10" s="107">
        <f aca="true" t="shared" si="0" ref="D10:K10">SUM(D6+D7+D8+D9)</f>
        <v>1271081</v>
      </c>
      <c r="E10" s="107">
        <f t="shared" si="0"/>
        <v>1055665.27555</v>
      </c>
      <c r="F10" s="107">
        <f t="shared" si="0"/>
        <v>1143660</v>
      </c>
      <c r="G10" s="107">
        <f t="shared" si="0"/>
        <v>1253076.82672</v>
      </c>
      <c r="H10" s="107">
        <f t="shared" si="0"/>
        <v>1123841.49016</v>
      </c>
      <c r="I10" s="108">
        <f>SUM(I6+I7+I8+I9)</f>
        <v>1246102.19857</v>
      </c>
      <c r="J10" s="169">
        <f>SUM(J6+J7+J8+J9)</f>
        <v>1387554.20566</v>
      </c>
      <c r="K10" s="109">
        <f t="shared" si="0"/>
        <v>1249245.882</v>
      </c>
      <c r="L10" s="109">
        <f>SUM(L6+L7+L8+L9)</f>
        <v>1231802.32</v>
      </c>
      <c r="M10" s="84"/>
      <c r="N10" s="84"/>
    </row>
    <row r="11" spans="1:12" ht="15">
      <c r="A11" s="11" t="s">
        <v>17</v>
      </c>
      <c r="B11" s="12"/>
      <c r="C11" s="13" t="s">
        <v>59</v>
      </c>
      <c r="D11" s="24">
        <v>0</v>
      </c>
      <c r="E11" s="24">
        <v>64711.042</v>
      </c>
      <c r="F11" s="24">
        <v>0</v>
      </c>
      <c r="G11" s="24">
        <v>0</v>
      </c>
      <c r="H11" s="24">
        <v>0</v>
      </c>
      <c r="I11" s="105">
        <v>2588</v>
      </c>
      <c r="J11" s="168">
        <f>'Inv.a neinv.akce 2018-2021'!U67</f>
        <v>57932.282</v>
      </c>
      <c r="K11" s="106">
        <v>0</v>
      </c>
      <c r="L11" s="106">
        <v>0</v>
      </c>
    </row>
    <row r="12" spans="1:12" ht="18" thickBot="1">
      <c r="A12" s="87" t="s">
        <v>18</v>
      </c>
      <c r="B12" s="88" t="s">
        <v>60</v>
      </c>
      <c r="C12" s="89" t="s">
        <v>19</v>
      </c>
      <c r="D12" s="110">
        <f aca="true" t="shared" si="1" ref="D12:I12">SUM(D10,D11:D11)</f>
        <v>1271081</v>
      </c>
      <c r="E12" s="110">
        <f t="shared" si="1"/>
        <v>1120376.3175499998</v>
      </c>
      <c r="F12" s="110">
        <f t="shared" si="1"/>
        <v>1143660</v>
      </c>
      <c r="G12" s="110">
        <f t="shared" si="1"/>
        <v>1253076.82672</v>
      </c>
      <c r="H12" s="110">
        <f t="shared" si="1"/>
        <v>1123841.49016</v>
      </c>
      <c r="I12" s="148">
        <f t="shared" si="1"/>
        <v>1248690.19857</v>
      </c>
      <c r="J12" s="148">
        <f>SUM(J10,J11:J11)</f>
        <v>1445486.4876599999</v>
      </c>
      <c r="K12" s="111">
        <f>SUM(K10,K11:K11)</f>
        <v>1249245.882</v>
      </c>
      <c r="L12" s="111">
        <f>SUM(L10,L11:L11)</f>
        <v>1231802.32</v>
      </c>
    </row>
    <row r="13" spans="1:12" ht="16.5" thickBot="1">
      <c r="A13" s="258" t="s">
        <v>20</v>
      </c>
      <c r="B13" s="259"/>
      <c r="C13" s="260"/>
      <c r="D13" s="101"/>
      <c r="E13" s="101"/>
      <c r="F13" s="112"/>
      <c r="G13" s="101"/>
      <c r="H13" s="151"/>
      <c r="I13" s="101"/>
      <c r="J13" s="101"/>
      <c r="K13" s="101"/>
      <c r="L13" s="101"/>
    </row>
    <row r="14" spans="1:14" ht="15">
      <c r="A14" s="31" t="s">
        <v>21</v>
      </c>
      <c r="B14" s="3" t="s">
        <v>22</v>
      </c>
      <c r="C14" s="14" t="s">
        <v>23</v>
      </c>
      <c r="D14" s="113">
        <v>843305</v>
      </c>
      <c r="E14" s="113">
        <v>810329</v>
      </c>
      <c r="F14" s="113">
        <v>813094</v>
      </c>
      <c r="G14" s="113">
        <v>897279.70036</v>
      </c>
      <c r="H14" s="113">
        <f>908319.3468</f>
        <v>908319.3468</v>
      </c>
      <c r="I14" s="113">
        <f>1155439.54229-7500</f>
        <v>1147939.54229</v>
      </c>
      <c r="J14" s="199">
        <f>1020405-'Inv.a neinv.akce 2018-2021'!O60+'Inv.a neinv.akce 2018-2021'!P60</f>
        <v>1050285.274</v>
      </c>
      <c r="K14" s="146">
        <f>953383*1.02+4500</f>
        <v>976950.66</v>
      </c>
      <c r="L14" s="146">
        <f>K14*1.02</f>
        <v>996489.6732000001</v>
      </c>
      <c r="N14" s="84"/>
    </row>
    <row r="15" spans="1:14" ht="15">
      <c r="A15" s="32" t="s">
        <v>24</v>
      </c>
      <c r="B15" s="6" t="s">
        <v>25</v>
      </c>
      <c r="C15" s="15" t="s">
        <v>26</v>
      </c>
      <c r="D15" s="114">
        <v>235586</v>
      </c>
      <c r="E15" s="114">
        <v>208164</v>
      </c>
      <c r="F15" s="115">
        <v>410294</v>
      </c>
      <c r="G15" s="115">
        <f>88358.89223+32871.7209</f>
        <v>121230.61313</v>
      </c>
      <c r="H15" s="115">
        <v>121108.2917</v>
      </c>
      <c r="I15" s="115">
        <f>873301.462-107644-40000-29600-65000-12500-1000-33250-4217-6752-22600-5500-1500-4685-3395-4416-9629</f>
        <v>521613.46200000006</v>
      </c>
      <c r="J15" s="218">
        <f>353480-'Inv.a neinv.akce 2018-2021'!O49+'Inv.a neinv.akce 2018-2021'!P49</f>
        <v>385519.612</v>
      </c>
      <c r="K15" s="219">
        <f>'Inv.a neinv.akce 2018-2021'!S49</f>
        <v>176699.88</v>
      </c>
      <c r="L15" s="219">
        <f>'Inv.a neinv.akce 2018-2021'!V49</f>
        <v>146000</v>
      </c>
      <c r="N15" s="84"/>
    </row>
    <row r="16" spans="1:12" ht="17.25">
      <c r="A16" s="8" t="s">
        <v>27</v>
      </c>
      <c r="B16" s="9" t="s">
        <v>28</v>
      </c>
      <c r="C16" s="10" t="s">
        <v>29</v>
      </c>
      <c r="D16" s="107">
        <f aca="true" t="shared" si="2" ref="D16:K16">SUM(D14,D15)</f>
        <v>1078891</v>
      </c>
      <c r="E16" s="107">
        <f t="shared" si="2"/>
        <v>1018493</v>
      </c>
      <c r="F16" s="107">
        <f t="shared" si="2"/>
        <v>1223388</v>
      </c>
      <c r="G16" s="107">
        <f t="shared" si="2"/>
        <v>1018510.31349</v>
      </c>
      <c r="H16" s="107">
        <f t="shared" si="2"/>
        <v>1029427.6385000001</v>
      </c>
      <c r="I16" s="108">
        <f t="shared" si="2"/>
        <v>1669553.00429</v>
      </c>
      <c r="J16" s="210">
        <f t="shared" si="2"/>
        <v>1435804.886</v>
      </c>
      <c r="K16" s="109">
        <f t="shared" si="2"/>
        <v>1153650.54</v>
      </c>
      <c r="L16" s="109">
        <f>SUM(L14,L15)</f>
        <v>1142489.6732</v>
      </c>
    </row>
    <row r="17" spans="1:12" ht="17.25">
      <c r="A17" s="16" t="s">
        <v>42</v>
      </c>
      <c r="B17" s="17"/>
      <c r="C17" s="13" t="s">
        <v>45</v>
      </c>
      <c r="D17" s="24">
        <f>-81892+32575</f>
        <v>-49317</v>
      </c>
      <c r="E17" s="24">
        <v>-171.94674</v>
      </c>
      <c r="F17" s="24">
        <v>0</v>
      </c>
      <c r="G17" s="24">
        <v>0</v>
      </c>
      <c r="H17" s="24">
        <f>10013.75-10200-4.4446</f>
        <v>-190.6946</v>
      </c>
      <c r="I17" s="105">
        <v>0</v>
      </c>
      <c r="J17" s="169">
        <v>0</v>
      </c>
      <c r="K17" s="106">
        <v>0</v>
      </c>
      <c r="L17" s="106">
        <v>0</v>
      </c>
    </row>
    <row r="18" spans="1:12" ht="15">
      <c r="A18" s="16" t="s">
        <v>43</v>
      </c>
      <c r="B18" s="12"/>
      <c r="C18" s="18" t="s">
        <v>77</v>
      </c>
      <c r="D18" s="24">
        <v>40000.8</v>
      </c>
      <c r="E18" s="24">
        <v>40000.8</v>
      </c>
      <c r="F18" s="24">
        <v>40000.8</v>
      </c>
      <c r="G18" s="25">
        <v>40000.8</v>
      </c>
      <c r="H18" s="24">
        <v>40000.8</v>
      </c>
      <c r="I18" s="105">
        <v>40000.8</v>
      </c>
      <c r="J18" s="168">
        <v>40000.8</v>
      </c>
      <c r="K18" s="26">
        <v>40000.8</v>
      </c>
      <c r="L18" s="26">
        <v>40000.8</v>
      </c>
    </row>
    <row r="19" spans="1:12" ht="15">
      <c r="A19" s="16" t="s">
        <v>30</v>
      </c>
      <c r="B19" s="12"/>
      <c r="C19" s="13" t="s">
        <v>57</v>
      </c>
      <c r="D19" s="24">
        <v>167000</v>
      </c>
      <c r="E19" s="24">
        <v>0</v>
      </c>
      <c r="F19" s="24">
        <v>43141</v>
      </c>
      <c r="G19" s="24">
        <f>E11-F19</f>
        <v>21570.042</v>
      </c>
      <c r="H19" s="24">
        <v>0</v>
      </c>
      <c r="I19" s="105">
        <f>H11</f>
        <v>0</v>
      </c>
      <c r="J19" s="168">
        <f>I11</f>
        <v>2588</v>
      </c>
      <c r="K19" s="106">
        <f>J11</f>
        <v>57932.282</v>
      </c>
      <c r="L19" s="106">
        <f>K11</f>
        <v>0</v>
      </c>
    </row>
    <row r="20" spans="1:12" ht="15.75" thickBot="1">
      <c r="A20" s="19" t="s">
        <v>31</v>
      </c>
      <c r="B20" s="20" t="s">
        <v>44</v>
      </c>
      <c r="C20" s="21" t="s">
        <v>32</v>
      </c>
      <c r="D20" s="116">
        <f aca="true" t="shared" si="3" ref="D20:I20">SUM(D18:D19)</f>
        <v>207000.8</v>
      </c>
      <c r="E20" s="116">
        <f t="shared" si="3"/>
        <v>40000.8</v>
      </c>
      <c r="F20" s="117">
        <f t="shared" si="3"/>
        <v>83141.8</v>
      </c>
      <c r="G20" s="116">
        <f t="shared" si="3"/>
        <v>61570.842000000004</v>
      </c>
      <c r="H20" s="117">
        <f>SUM(H18:H19)</f>
        <v>40000.8</v>
      </c>
      <c r="I20" s="208">
        <f t="shared" si="3"/>
        <v>40000.8</v>
      </c>
      <c r="J20" s="170">
        <f>SUM(J18:J19)</f>
        <v>42588.8</v>
      </c>
      <c r="K20" s="118">
        <f>SUM(K18:K19)</f>
        <v>97933.082</v>
      </c>
      <c r="L20" s="118">
        <f>SUM(L18:L19)</f>
        <v>40000.8</v>
      </c>
    </row>
    <row r="21" spans="1:12" ht="18" thickBot="1">
      <c r="A21" s="90" t="s">
        <v>33</v>
      </c>
      <c r="B21" s="91" t="s">
        <v>34</v>
      </c>
      <c r="C21" s="92" t="s">
        <v>35</v>
      </c>
      <c r="D21" s="119">
        <f aca="true" t="shared" si="4" ref="D21:K21">SUM(D20,D17,D16)</f>
        <v>1236574.8</v>
      </c>
      <c r="E21" s="119">
        <f t="shared" si="4"/>
        <v>1058321.85326</v>
      </c>
      <c r="F21" s="119">
        <f t="shared" si="4"/>
        <v>1306529.8</v>
      </c>
      <c r="G21" s="119">
        <f t="shared" si="4"/>
        <v>1080081.15549</v>
      </c>
      <c r="H21" s="119">
        <f>SUM(H20,H17,H16)</f>
        <v>1069237.7439000001</v>
      </c>
      <c r="I21" s="120">
        <f t="shared" si="4"/>
        <v>1709553.8042900001</v>
      </c>
      <c r="J21" s="120">
        <f>SUM(J20,J17,J16)</f>
        <v>1478393.686</v>
      </c>
      <c r="K21" s="121">
        <f t="shared" si="4"/>
        <v>1251583.622</v>
      </c>
      <c r="L21" s="121">
        <f>SUM(L20,L17,L16)</f>
        <v>1182490.4732000001</v>
      </c>
    </row>
    <row r="22" spans="1:12" ht="10.5" customHeight="1" thickBot="1">
      <c r="A22"/>
      <c r="B22"/>
      <c r="C22"/>
      <c r="D22" s="122"/>
      <c r="E22" s="123"/>
      <c r="F22" s="122"/>
      <c r="G22" s="122"/>
      <c r="H22" s="122"/>
      <c r="I22" s="122"/>
      <c r="J22" s="122"/>
      <c r="K22" s="122"/>
      <c r="L22" s="122"/>
    </row>
    <row r="23" spans="1:12" ht="16.5" thickBot="1">
      <c r="A23" s="27" t="s">
        <v>36</v>
      </c>
      <c r="B23" s="28"/>
      <c r="C23" s="29" t="s">
        <v>37</v>
      </c>
      <c r="D23" s="124">
        <f aca="true" t="shared" si="5" ref="D23:I23">SUM(D12-D21)</f>
        <v>34506.19999999995</v>
      </c>
      <c r="E23" s="124">
        <f t="shared" si="5"/>
        <v>62054.4642899998</v>
      </c>
      <c r="F23" s="124">
        <f t="shared" si="5"/>
        <v>-162869.80000000005</v>
      </c>
      <c r="G23" s="124">
        <f t="shared" si="5"/>
        <v>172995.67122999998</v>
      </c>
      <c r="H23" s="124">
        <f>SUM(H12-H21)</f>
        <v>54603.74625999993</v>
      </c>
      <c r="I23" s="125">
        <f t="shared" si="5"/>
        <v>-460863.6057200001</v>
      </c>
      <c r="J23" s="171">
        <f>J12-J21</f>
        <v>-32907.19834000012</v>
      </c>
      <c r="K23" s="126">
        <f>SUM(K12-K21)</f>
        <v>-2337.7399999999907</v>
      </c>
      <c r="L23" s="126">
        <f>SUM(L12-L21)</f>
        <v>49311.84679999994</v>
      </c>
    </row>
    <row r="24" spans="1:12" ht="21.75" thickBot="1">
      <c r="A24" s="93" t="s">
        <v>38</v>
      </c>
      <c r="B24" s="94"/>
      <c r="C24" s="95" t="s">
        <v>39</v>
      </c>
      <c r="D24" s="127">
        <f aca="true" t="shared" si="6" ref="D24:J24">D4+D23</f>
        <v>395666.19999999995</v>
      </c>
      <c r="E24" s="127">
        <f t="shared" si="6"/>
        <v>457720.66428999975</v>
      </c>
      <c r="F24" s="128">
        <f t="shared" si="6"/>
        <v>294850.8642899997</v>
      </c>
      <c r="G24" s="128">
        <f t="shared" si="6"/>
        <v>467846.5355199997</v>
      </c>
      <c r="H24" s="128">
        <f>H4+H23</f>
        <v>522450.0201299999</v>
      </c>
      <c r="I24" s="129">
        <f t="shared" si="6"/>
        <v>61586.41026999988</v>
      </c>
      <c r="J24" s="129">
        <f t="shared" si="6"/>
        <v>28679.211929999758</v>
      </c>
      <c r="K24" s="130">
        <f>K4+K23</f>
        <v>26341.471929999767</v>
      </c>
      <c r="L24" s="130">
        <f>L4+L23</f>
        <v>75653.31872999971</v>
      </c>
    </row>
    <row r="25" spans="6:12" ht="14.25" customHeight="1" hidden="1">
      <c r="F25">
        <f>444205+39764+11843</f>
        <v>495812</v>
      </c>
      <c r="H25" s="197"/>
      <c r="I25" s="213"/>
      <c r="J25" s="214"/>
      <c r="K25" s="214"/>
      <c r="L25" s="84"/>
    </row>
    <row r="26" spans="6:12" ht="14.25" customHeight="1" hidden="1">
      <c r="F26">
        <f>1407721-F25</f>
        <v>911909</v>
      </c>
      <c r="H26" s="197"/>
      <c r="I26" s="213"/>
      <c r="J26" s="214"/>
      <c r="K26" s="214"/>
      <c r="L26" s="84"/>
    </row>
    <row r="27" spans="6:12" ht="14.25" customHeight="1" hidden="1">
      <c r="F27">
        <v>190588</v>
      </c>
      <c r="H27" s="197"/>
      <c r="I27" s="213"/>
      <c r="J27" s="214"/>
      <c r="K27" s="214"/>
      <c r="L27" s="84"/>
    </row>
    <row r="28" spans="6:12" ht="14.25" customHeight="1" hidden="1">
      <c r="F28">
        <v>401105</v>
      </c>
      <c r="H28" s="197"/>
      <c r="I28" s="213"/>
      <c r="J28" s="214"/>
      <c r="K28" s="214"/>
      <c r="L28" s="84"/>
    </row>
    <row r="29" spans="6:12" ht="14.25" customHeight="1" hidden="1">
      <c r="F29">
        <v>117453</v>
      </c>
      <c r="H29" s="197"/>
      <c r="I29" s="213"/>
      <c r="J29" s="214"/>
      <c r="K29" s="214"/>
      <c r="L29" s="84"/>
    </row>
    <row r="30" spans="6:12" ht="14.25" customHeight="1" hidden="1">
      <c r="F30">
        <v>191532</v>
      </c>
      <c r="H30" s="197"/>
      <c r="I30" s="213"/>
      <c r="J30" s="214"/>
      <c r="K30" s="214"/>
      <c r="L30" s="84"/>
    </row>
    <row r="31" spans="6:12" ht="14.25" customHeight="1" hidden="1">
      <c r="F31">
        <v>2384</v>
      </c>
      <c r="H31" s="197"/>
      <c r="I31" s="213"/>
      <c r="J31" s="214"/>
      <c r="K31" s="214"/>
      <c r="L31" s="84"/>
    </row>
    <row r="32" spans="6:12" ht="14.25" customHeight="1" hidden="1">
      <c r="F32">
        <v>410</v>
      </c>
      <c r="H32" s="197"/>
      <c r="I32" s="213"/>
      <c r="J32" s="214"/>
      <c r="K32" s="214"/>
      <c r="L32" s="84"/>
    </row>
    <row r="33" spans="6:12" ht="14.25" customHeight="1" hidden="1">
      <c r="F33">
        <v>8435</v>
      </c>
      <c r="H33" s="197"/>
      <c r="I33" s="213"/>
      <c r="J33" s="214"/>
      <c r="K33" s="214"/>
      <c r="L33" s="84"/>
    </row>
    <row r="34" spans="7:12" ht="15">
      <c r="G34" s="198"/>
      <c r="H34" s="197"/>
      <c r="I34" s="213"/>
      <c r="J34" s="84"/>
      <c r="L34" s="84"/>
    </row>
    <row r="35" spans="1:3" ht="15">
      <c r="A35"/>
      <c r="B35"/>
      <c r="C35"/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5">
      <c r="A39"/>
      <c r="B39"/>
      <c r="C39"/>
    </row>
    <row r="40" spans="1:3" ht="15">
      <c r="A40"/>
      <c r="B40"/>
      <c r="C40"/>
    </row>
    <row r="41" spans="1:3" ht="15">
      <c r="A41"/>
      <c r="B41"/>
      <c r="C41"/>
    </row>
    <row r="42" spans="1:3" ht="15">
      <c r="A42"/>
      <c r="B42"/>
      <c r="C42"/>
    </row>
    <row r="43" spans="1:3" ht="15">
      <c r="A43"/>
      <c r="B43"/>
      <c r="C43"/>
    </row>
    <row r="44" spans="1:3" ht="15">
      <c r="A44"/>
      <c r="B44"/>
      <c r="C44"/>
    </row>
    <row r="45" spans="1:3" ht="15">
      <c r="A45"/>
      <c r="B45"/>
      <c r="C45"/>
    </row>
    <row r="46" spans="1:3" ht="15">
      <c r="A46"/>
      <c r="B46"/>
      <c r="C46"/>
    </row>
    <row r="47" spans="1:3" ht="15">
      <c r="A47"/>
      <c r="B47"/>
      <c r="C47"/>
    </row>
    <row r="48" spans="1:3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2" ht="15">
      <c r="A51"/>
      <c r="B51"/>
    </row>
  </sheetData>
  <sheetProtection/>
  <mergeCells count="7">
    <mergeCell ref="A1:K1"/>
    <mergeCell ref="A13:C13"/>
    <mergeCell ref="A3:C3"/>
    <mergeCell ref="B4:C4"/>
    <mergeCell ref="A5:C5"/>
    <mergeCell ref="A2:C2"/>
    <mergeCell ref="E2:H2"/>
  </mergeCells>
  <printOptions horizontalCentered="1" verticalCentered="1"/>
  <pageMargins left="0.31496062992125984" right="0.31496062992125984" top="0.5118110236220472" bottom="0.5118110236220472" header="0.15748031496062992" footer="0.31496062992125984"/>
  <pageSetup firstPageNumber="124" useFirstPageNumber="1" fitToHeight="1" fitToWidth="1" horizontalDpi="600" verticalDpi="600" orientation="landscape" paperSize="9" scale="87" r:id="rId3"/>
  <headerFooter>
    <oddHeader>&amp;C&amp;"+,Tučné"IV. Rozpočtový výhled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77"/>
  <sheetViews>
    <sheetView tabSelected="1" zoomScaleSheetLayoutView="70" zoomScalePageLayoutView="90" workbookViewId="0" topLeftCell="A21">
      <selection activeCell="A31" sqref="A31"/>
    </sheetView>
  </sheetViews>
  <sheetFormatPr defaultColWidth="35.28125" defaultRowHeight="15" outlineLevelRow="1" outlineLevelCol="1"/>
  <cols>
    <col min="1" max="1" width="51.421875" style="57" customWidth="1"/>
    <col min="2" max="2" width="11.140625" style="57" customWidth="1"/>
    <col min="3" max="3" width="13.57421875" style="33" hidden="1" customWidth="1" outlineLevel="1"/>
    <col min="4" max="4" width="12.57421875" style="33" hidden="1" customWidth="1" outlineLevel="1"/>
    <col min="5" max="5" width="12.140625" style="33" hidden="1" customWidth="1" outlineLevel="1"/>
    <col min="6" max="6" width="13.28125" style="33" hidden="1" customWidth="1" outlineLevel="1" collapsed="1"/>
    <col min="7" max="7" width="10.421875" style="33" hidden="1" customWidth="1" outlineLevel="1"/>
    <col min="8" max="8" width="12.57421875" style="33" hidden="1" customWidth="1" outlineLevel="1"/>
    <col min="9" max="9" width="13.28125" style="33" hidden="1" customWidth="1" outlineLevel="1"/>
    <col min="10" max="10" width="10.421875" style="33" hidden="1" customWidth="1" outlineLevel="1"/>
    <col min="11" max="11" width="12.57421875" style="33" hidden="1" customWidth="1" outlineLevel="1"/>
    <col min="12" max="12" width="13.28125" style="33" customWidth="1" collapsed="1"/>
    <col min="13" max="13" width="10.421875" style="33" customWidth="1"/>
    <col min="14" max="14" width="12.57421875" style="33" customWidth="1"/>
    <col min="15" max="15" width="12.57421875" style="33" customWidth="1" outlineLevel="1"/>
    <col min="16" max="16" width="13.28125" style="33" customWidth="1"/>
    <col min="17" max="17" width="10.421875" style="33" customWidth="1"/>
    <col min="18" max="18" width="12.57421875" style="33" customWidth="1"/>
    <col min="19" max="19" width="13.28125" style="33" customWidth="1"/>
    <col min="20" max="20" width="10.421875" style="33" customWidth="1"/>
    <col min="21" max="21" width="12.57421875" style="33" customWidth="1"/>
    <col min="22" max="22" width="13.28125" style="33" customWidth="1"/>
    <col min="23" max="23" width="10.421875" style="33" customWidth="1"/>
    <col min="24" max="24" width="12.57421875" style="33" customWidth="1"/>
    <col min="25" max="25" width="13.28125" style="33" customWidth="1"/>
    <col min="26" max="26" width="10.421875" style="33" customWidth="1"/>
    <col min="27" max="27" width="12.57421875" style="33" customWidth="1"/>
    <col min="28" max="239" width="9.140625" style="34" customWidth="1"/>
    <col min="240" max="16384" width="35.28125" style="34" customWidth="1"/>
  </cols>
  <sheetData>
    <row r="1" spans="1:8" ht="22.5" customHeight="1" thickBot="1">
      <c r="A1" s="270" t="s">
        <v>99</v>
      </c>
      <c r="B1" s="270"/>
      <c r="C1" s="270"/>
      <c r="D1" s="270"/>
      <c r="E1" s="270"/>
      <c r="F1" s="270"/>
      <c r="G1" s="270"/>
      <c r="H1" s="270"/>
    </row>
    <row r="2" spans="1:27" s="35" customFormat="1" ht="15.75" customHeight="1">
      <c r="A2" s="271"/>
      <c r="B2" s="174" t="s">
        <v>46</v>
      </c>
      <c r="C2" s="274">
        <v>2015</v>
      </c>
      <c r="D2" s="275"/>
      <c r="E2" s="276"/>
      <c r="F2" s="277">
        <v>2016</v>
      </c>
      <c r="G2" s="278"/>
      <c r="H2" s="279"/>
      <c r="I2" s="277">
        <v>2017</v>
      </c>
      <c r="J2" s="278"/>
      <c r="K2" s="279"/>
      <c r="L2" s="277">
        <v>2018</v>
      </c>
      <c r="M2" s="278"/>
      <c r="N2" s="279"/>
      <c r="O2" s="274">
        <v>2019</v>
      </c>
      <c r="P2" s="275"/>
      <c r="Q2" s="275"/>
      <c r="R2" s="276"/>
      <c r="S2" s="277">
        <v>2020</v>
      </c>
      <c r="T2" s="278"/>
      <c r="U2" s="279"/>
      <c r="V2" s="277">
        <v>2021</v>
      </c>
      <c r="W2" s="278"/>
      <c r="X2" s="279"/>
      <c r="Y2" s="277" t="s">
        <v>98</v>
      </c>
      <c r="Z2" s="278"/>
      <c r="AA2" s="279"/>
    </row>
    <row r="3" spans="1:27" s="35" customFormat="1" ht="30.75" customHeight="1">
      <c r="A3" s="272"/>
      <c r="B3" s="175" t="s">
        <v>47</v>
      </c>
      <c r="C3" s="136" t="s">
        <v>48</v>
      </c>
      <c r="D3" s="280" t="s">
        <v>49</v>
      </c>
      <c r="E3" s="281"/>
      <c r="F3" s="136" t="s">
        <v>48</v>
      </c>
      <c r="G3" s="268" t="s">
        <v>49</v>
      </c>
      <c r="H3" s="269"/>
      <c r="I3" s="136" t="s">
        <v>48</v>
      </c>
      <c r="J3" s="268" t="s">
        <v>49</v>
      </c>
      <c r="K3" s="269"/>
      <c r="L3" s="136" t="s">
        <v>48</v>
      </c>
      <c r="M3" s="268" t="s">
        <v>49</v>
      </c>
      <c r="N3" s="269"/>
      <c r="O3" s="240" t="s">
        <v>111</v>
      </c>
      <c r="P3" s="136" t="s">
        <v>48</v>
      </c>
      <c r="Q3" s="268" t="s">
        <v>49</v>
      </c>
      <c r="R3" s="269"/>
      <c r="S3" s="136" t="s">
        <v>48</v>
      </c>
      <c r="T3" s="268" t="s">
        <v>49</v>
      </c>
      <c r="U3" s="269"/>
      <c r="V3" s="136" t="s">
        <v>48</v>
      </c>
      <c r="W3" s="268" t="s">
        <v>49</v>
      </c>
      <c r="X3" s="269"/>
      <c r="Y3" s="136" t="s">
        <v>48</v>
      </c>
      <c r="Z3" s="268" t="s">
        <v>49</v>
      </c>
      <c r="AA3" s="269"/>
    </row>
    <row r="4" spans="1:27" s="35" customFormat="1" ht="15.75" thickBot="1">
      <c r="A4" s="273"/>
      <c r="B4" s="194"/>
      <c r="C4" s="195"/>
      <c r="D4" s="194" t="s">
        <v>50</v>
      </c>
      <c r="E4" s="196" t="s">
        <v>64</v>
      </c>
      <c r="F4" s="195"/>
      <c r="G4" s="194" t="s">
        <v>50</v>
      </c>
      <c r="H4" s="196" t="s">
        <v>64</v>
      </c>
      <c r="I4" s="195"/>
      <c r="J4" s="194" t="s">
        <v>50</v>
      </c>
      <c r="K4" s="196" t="s">
        <v>64</v>
      </c>
      <c r="L4" s="195"/>
      <c r="M4" s="194" t="s">
        <v>50</v>
      </c>
      <c r="N4" s="196" t="s">
        <v>65</v>
      </c>
      <c r="O4" s="241" t="s">
        <v>110</v>
      </c>
      <c r="P4" s="195"/>
      <c r="Q4" s="194" t="s">
        <v>50</v>
      </c>
      <c r="R4" s="196" t="s">
        <v>65</v>
      </c>
      <c r="S4" s="195"/>
      <c r="T4" s="194" t="s">
        <v>50</v>
      </c>
      <c r="U4" s="196" t="s">
        <v>65</v>
      </c>
      <c r="V4" s="195"/>
      <c r="W4" s="194" t="s">
        <v>50</v>
      </c>
      <c r="X4" s="196" t="s">
        <v>65</v>
      </c>
      <c r="Y4" s="195"/>
      <c r="Z4" s="194" t="s">
        <v>50</v>
      </c>
      <c r="AA4" s="196" t="s">
        <v>65</v>
      </c>
    </row>
    <row r="5" spans="1:27" s="42" customFormat="1" ht="7.5" customHeight="1" thickBot="1">
      <c r="A5" s="39"/>
      <c r="B5" s="40"/>
      <c r="C5" s="86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s="36" customFormat="1" ht="15.75" hidden="1" thickBot="1">
      <c r="A6" s="211" t="s">
        <v>51</v>
      </c>
      <c r="B6" s="134">
        <v>33061</v>
      </c>
      <c r="C6" s="137">
        <v>613</v>
      </c>
      <c r="D6" s="43">
        <v>613</v>
      </c>
      <c r="E6" s="45">
        <v>0</v>
      </c>
      <c r="F6" s="137">
        <v>938</v>
      </c>
      <c r="G6" s="43">
        <f>F6</f>
        <v>938</v>
      </c>
      <c r="H6" s="45">
        <v>0</v>
      </c>
      <c r="I6" s="44">
        <f>B6-F6-C6</f>
        <v>31510</v>
      </c>
      <c r="J6" s="43">
        <f>I6</f>
        <v>31510</v>
      </c>
      <c r="K6" s="85">
        <v>0</v>
      </c>
      <c r="L6" s="44"/>
      <c r="M6" s="43"/>
      <c r="N6" s="85"/>
      <c r="O6" s="237"/>
      <c r="P6" s="44"/>
      <c r="Q6" s="43"/>
      <c r="R6" s="85"/>
      <c r="S6" s="44"/>
      <c r="T6" s="43"/>
      <c r="U6" s="85"/>
      <c r="V6" s="44"/>
      <c r="W6" s="43"/>
      <c r="X6" s="85"/>
      <c r="Y6" s="44"/>
      <c r="Z6" s="43"/>
      <c r="AA6" s="85"/>
    </row>
    <row r="7" spans="1:27" s="36" customFormat="1" ht="15">
      <c r="A7" s="143" t="s">
        <v>116</v>
      </c>
      <c r="B7" s="134">
        <f>I7+L7+P7</f>
        <v>40947</v>
      </c>
      <c r="C7" s="137">
        <v>0</v>
      </c>
      <c r="D7" s="43">
        <v>0</v>
      </c>
      <c r="E7" s="45">
        <v>0</v>
      </c>
      <c r="F7" s="137">
        <v>0</v>
      </c>
      <c r="G7" s="43">
        <v>0</v>
      </c>
      <c r="H7" s="45">
        <v>0</v>
      </c>
      <c r="I7" s="44">
        <v>3047</v>
      </c>
      <c r="J7" s="43">
        <f>I7</f>
        <v>3047</v>
      </c>
      <c r="K7" s="85">
        <v>0</v>
      </c>
      <c r="L7" s="44">
        <v>10000</v>
      </c>
      <c r="M7" s="43">
        <f>L7+P7-R7</f>
        <v>8150</v>
      </c>
      <c r="N7" s="205"/>
      <c r="O7" s="247">
        <v>3000</v>
      </c>
      <c r="P7" s="134">
        <f>15000+9900+O7</f>
        <v>27900</v>
      </c>
      <c r="Q7" s="43">
        <v>0</v>
      </c>
      <c r="R7" s="85">
        <v>29750</v>
      </c>
      <c r="S7" s="212"/>
      <c r="T7" s="43"/>
      <c r="U7" s="85"/>
      <c r="V7" s="44"/>
      <c r="W7" s="43"/>
      <c r="X7" s="85"/>
      <c r="Y7" s="44"/>
      <c r="Z7" s="43"/>
      <c r="AA7" s="85"/>
    </row>
    <row r="8" spans="1:27" s="36" customFormat="1" ht="15">
      <c r="A8" s="143" t="s">
        <v>102</v>
      </c>
      <c r="B8" s="134">
        <v>122680.088</v>
      </c>
      <c r="C8" s="137">
        <v>0</v>
      </c>
      <c r="D8" s="43">
        <v>0</v>
      </c>
      <c r="E8" s="45">
        <v>0</v>
      </c>
      <c r="F8" s="137">
        <v>12033.207999999999</v>
      </c>
      <c r="G8" s="43">
        <f>F8</f>
        <v>12033.207999999999</v>
      </c>
      <c r="H8" s="45">
        <v>0</v>
      </c>
      <c r="I8" s="137">
        <v>0</v>
      </c>
      <c r="J8" s="43">
        <v>0</v>
      </c>
      <c r="K8" s="85">
        <v>0</v>
      </c>
      <c r="L8" s="44">
        <f>40000-F8-10646.88+22680.088-40000</f>
        <v>0</v>
      </c>
      <c r="M8" s="43">
        <f>L8</f>
        <v>0</v>
      </c>
      <c r="N8" s="205">
        <v>0</v>
      </c>
      <c r="O8" s="248">
        <v>10000</v>
      </c>
      <c r="P8" s="134">
        <v>10000</v>
      </c>
      <c r="Q8" s="43">
        <f>P8</f>
        <v>10000</v>
      </c>
      <c r="R8" s="85">
        <v>0</v>
      </c>
      <c r="S8" s="44">
        <f>B8-F8-I8-L8-P8-10647</f>
        <v>89999.88</v>
      </c>
      <c r="T8" s="43">
        <f>S8</f>
        <v>89999.88</v>
      </c>
      <c r="U8" s="85">
        <v>0</v>
      </c>
      <c r="V8" s="44"/>
      <c r="W8" s="43"/>
      <c r="X8" s="85"/>
      <c r="Y8" s="44">
        <v>150000</v>
      </c>
      <c r="Z8" s="43"/>
      <c r="AA8" s="85"/>
    </row>
    <row r="9" spans="1:27" s="35" customFormat="1" ht="15.75" customHeight="1">
      <c r="A9" s="220" t="s">
        <v>61</v>
      </c>
      <c r="B9" s="163">
        <f>80237+1815+3735+4840+1815+1157+1342</f>
        <v>94941</v>
      </c>
      <c r="C9" s="153"/>
      <c r="D9" s="156"/>
      <c r="E9" s="155"/>
      <c r="F9" s="153">
        <v>1157</v>
      </c>
      <c r="G9" s="154">
        <f>F9</f>
        <v>1157</v>
      </c>
      <c r="H9" s="155">
        <v>0</v>
      </c>
      <c r="I9" s="153">
        <f>1342+25000</f>
        <v>26342</v>
      </c>
      <c r="J9" s="154">
        <f>I9</f>
        <v>26342</v>
      </c>
      <c r="K9" s="172">
        <v>0</v>
      </c>
      <c r="L9" s="153">
        <v>47442</v>
      </c>
      <c r="M9" s="154">
        <f>L9</f>
        <v>47442</v>
      </c>
      <c r="N9" s="236">
        <v>0</v>
      </c>
      <c r="O9" s="248">
        <v>5000</v>
      </c>
      <c r="P9" s="163">
        <f>B9-F9-I9-L9</f>
        <v>20000</v>
      </c>
      <c r="Q9" s="154">
        <f>P9</f>
        <v>20000</v>
      </c>
      <c r="R9" s="172">
        <v>0</v>
      </c>
      <c r="S9" s="153"/>
      <c r="T9" s="154"/>
      <c r="U9" s="172"/>
      <c r="V9" s="153"/>
      <c r="W9" s="154"/>
      <c r="X9" s="172"/>
      <c r="Y9" s="153"/>
      <c r="Z9" s="154"/>
      <c r="AA9" s="172"/>
    </row>
    <row r="10" spans="1:27" s="35" customFormat="1" ht="15.75" customHeight="1">
      <c r="A10" s="221" t="s">
        <v>62</v>
      </c>
      <c r="B10" s="134">
        <f>F10+I10+L10</f>
        <v>348</v>
      </c>
      <c r="C10" s="137"/>
      <c r="D10" s="156"/>
      <c r="E10" s="45"/>
      <c r="F10" s="137">
        <v>348</v>
      </c>
      <c r="G10" s="43">
        <v>500</v>
      </c>
      <c r="H10" s="45">
        <v>0</v>
      </c>
      <c r="I10" s="137">
        <v>0</v>
      </c>
      <c r="J10" s="43">
        <f>I10</f>
        <v>0</v>
      </c>
      <c r="K10" s="85">
        <v>0</v>
      </c>
      <c r="L10" s="137">
        <v>0</v>
      </c>
      <c r="M10" s="43"/>
      <c r="N10" s="205"/>
      <c r="O10" s="250">
        <v>0</v>
      </c>
      <c r="P10" s="134">
        <v>22600</v>
      </c>
      <c r="Q10" s="43"/>
      <c r="R10" s="85"/>
      <c r="S10" s="137"/>
      <c r="T10" s="43"/>
      <c r="U10" s="85"/>
      <c r="V10" s="137"/>
      <c r="W10" s="43"/>
      <c r="X10" s="85"/>
      <c r="Y10" s="137"/>
      <c r="Z10" s="43"/>
      <c r="AA10" s="85"/>
    </row>
    <row r="11" spans="1:27" s="35" customFormat="1" ht="15.75" customHeight="1">
      <c r="A11" s="221" t="s">
        <v>112</v>
      </c>
      <c r="B11" s="134">
        <f>P11+S11</f>
        <v>13500</v>
      </c>
      <c r="C11" s="137"/>
      <c r="D11" s="156"/>
      <c r="E11" s="45"/>
      <c r="F11" s="137"/>
      <c r="G11" s="43"/>
      <c r="H11" s="45"/>
      <c r="I11" s="134"/>
      <c r="J11" s="43"/>
      <c r="K11" s="85"/>
      <c r="L11" s="134"/>
      <c r="M11" s="43"/>
      <c r="N11" s="205"/>
      <c r="O11" s="249">
        <v>1000</v>
      </c>
      <c r="P11" s="134">
        <v>13500</v>
      </c>
      <c r="Q11" s="43">
        <f>P11-U11</f>
        <v>2025</v>
      </c>
      <c r="R11" s="85"/>
      <c r="S11" s="134"/>
      <c r="T11" s="43"/>
      <c r="U11" s="85">
        <f>0.85*B11</f>
        <v>11475</v>
      </c>
      <c r="V11" s="134"/>
      <c r="W11" s="43"/>
      <c r="X11" s="85"/>
      <c r="Y11" s="134"/>
      <c r="Z11" s="43"/>
      <c r="AA11" s="85"/>
    </row>
    <row r="12" spans="1:27" s="35" customFormat="1" ht="15.75" customHeight="1">
      <c r="A12" s="222" t="s">
        <v>113</v>
      </c>
      <c r="B12" s="157">
        <f>O12</f>
        <v>300</v>
      </c>
      <c r="C12" s="159"/>
      <c r="D12" s="158"/>
      <c r="E12" s="161"/>
      <c r="F12" s="159"/>
      <c r="G12" s="160"/>
      <c r="H12" s="161"/>
      <c r="I12" s="157">
        <v>0</v>
      </c>
      <c r="J12" s="43">
        <f>I12*0.2</f>
        <v>0</v>
      </c>
      <c r="K12" s="45">
        <v>0</v>
      </c>
      <c r="L12" s="157">
        <v>0</v>
      </c>
      <c r="M12" s="43">
        <f>L12</f>
        <v>0</v>
      </c>
      <c r="N12" s="205"/>
      <c r="O12" s="248">
        <v>300</v>
      </c>
      <c r="P12" s="134">
        <v>300</v>
      </c>
      <c r="Q12" s="160">
        <f>P12-R12</f>
        <v>300</v>
      </c>
      <c r="R12" s="226">
        <f>12000*0.8-9600</f>
        <v>0</v>
      </c>
      <c r="S12" s="157"/>
      <c r="T12" s="160"/>
      <c r="U12" s="173"/>
      <c r="V12" s="157"/>
      <c r="W12" s="160"/>
      <c r="X12" s="173"/>
      <c r="Y12" s="157"/>
      <c r="Z12" s="160"/>
      <c r="AA12" s="173"/>
    </row>
    <row r="13" spans="1:27" s="36" customFormat="1" ht="15" hidden="1">
      <c r="A13" s="143" t="s">
        <v>79</v>
      </c>
      <c r="B13" s="134">
        <f>L13</f>
        <v>550</v>
      </c>
      <c r="C13" s="137"/>
      <c r="D13" s="43"/>
      <c r="E13" s="45"/>
      <c r="F13" s="137">
        <v>10</v>
      </c>
      <c r="G13" s="43">
        <v>10</v>
      </c>
      <c r="H13" s="45">
        <v>0</v>
      </c>
      <c r="I13" s="44"/>
      <c r="J13" s="43"/>
      <c r="K13" s="45"/>
      <c r="L13" s="44">
        <f>0.9*14500-12500</f>
        <v>550</v>
      </c>
      <c r="M13" s="43">
        <f>L13-R13</f>
        <v>550</v>
      </c>
      <c r="N13" s="205"/>
      <c r="O13" s="248"/>
      <c r="P13" s="134"/>
      <c r="Q13" s="43"/>
      <c r="R13" s="85"/>
      <c r="S13" s="44"/>
      <c r="T13" s="43"/>
      <c r="U13" s="85"/>
      <c r="V13" s="44"/>
      <c r="W13" s="43"/>
      <c r="X13" s="85"/>
      <c r="Y13" s="44"/>
      <c r="Z13" s="43"/>
      <c r="AA13" s="85"/>
    </row>
    <row r="14" spans="1:27" s="35" customFormat="1" ht="15.75" customHeight="1">
      <c r="A14" s="222" t="s">
        <v>87</v>
      </c>
      <c r="B14" s="157">
        <f>L14+P14+S14</f>
        <v>33250</v>
      </c>
      <c r="C14" s="159"/>
      <c r="D14" s="158"/>
      <c r="E14" s="161"/>
      <c r="F14" s="159"/>
      <c r="G14" s="160"/>
      <c r="H14" s="161"/>
      <c r="I14" s="157"/>
      <c r="J14" s="43"/>
      <c r="K14" s="45"/>
      <c r="L14" s="44">
        <v>0</v>
      </c>
      <c r="M14" s="43"/>
      <c r="N14" s="205"/>
      <c r="O14" s="248">
        <v>0</v>
      </c>
      <c r="P14" s="134">
        <f>20000+13250</f>
        <v>33250</v>
      </c>
      <c r="Q14" s="43"/>
      <c r="R14" s="85"/>
      <c r="S14" s="44">
        <f>13250-13250</f>
        <v>0</v>
      </c>
      <c r="T14" s="160"/>
      <c r="U14" s="173"/>
      <c r="V14" s="44"/>
      <c r="W14" s="160"/>
      <c r="X14" s="173"/>
      <c r="Y14" s="44"/>
      <c r="Z14" s="160"/>
      <c r="AA14" s="173"/>
    </row>
    <row r="15" spans="1:27" s="36" customFormat="1" ht="15">
      <c r="A15" s="143" t="s">
        <v>70</v>
      </c>
      <c r="B15" s="134">
        <v>43026</v>
      </c>
      <c r="C15" s="137"/>
      <c r="D15" s="43"/>
      <c r="E15" s="45"/>
      <c r="F15" s="137">
        <v>342</v>
      </c>
      <c r="G15" s="43">
        <v>342</v>
      </c>
      <c r="H15" s="45">
        <v>0</v>
      </c>
      <c r="I15" s="44">
        <f>B15/2</f>
        <v>21513</v>
      </c>
      <c r="J15" s="43"/>
      <c r="K15" s="45"/>
      <c r="L15" s="44">
        <f>I15</f>
        <v>21513</v>
      </c>
      <c r="M15" s="43" t="s">
        <v>78</v>
      </c>
      <c r="N15" s="205">
        <v>1281.48026</v>
      </c>
      <c r="O15" s="249">
        <v>0</v>
      </c>
      <c r="P15" s="163"/>
      <c r="Q15" s="43"/>
      <c r="R15" s="85">
        <v>21785.16451</v>
      </c>
      <c r="S15" s="44"/>
      <c r="T15" s="43"/>
      <c r="U15" s="85"/>
      <c r="V15" s="44"/>
      <c r="W15" s="43"/>
      <c r="X15" s="85"/>
      <c r="Y15" s="44"/>
      <c r="Z15" s="43"/>
      <c r="AA15" s="85"/>
    </row>
    <row r="16" spans="1:27" s="36" customFormat="1" ht="15">
      <c r="A16" s="143" t="s">
        <v>71</v>
      </c>
      <c r="B16" s="134">
        <f>I16+L16</f>
        <v>35246</v>
      </c>
      <c r="C16" s="137"/>
      <c r="D16" s="43"/>
      <c r="E16" s="45"/>
      <c r="F16" s="137">
        <v>142</v>
      </c>
      <c r="G16" s="43">
        <v>142</v>
      </c>
      <c r="H16" s="45">
        <v>0</v>
      </c>
      <c r="I16" s="44">
        <v>117</v>
      </c>
      <c r="J16" s="43"/>
      <c r="K16" s="45"/>
      <c r="L16" s="44">
        <f>32422+2707</f>
        <v>35129</v>
      </c>
      <c r="M16" s="43" t="s">
        <v>78</v>
      </c>
      <c r="N16" s="205"/>
      <c r="O16" s="248"/>
      <c r="P16" s="134"/>
      <c r="Q16" s="43"/>
      <c r="R16" s="205">
        <v>26696.7144</v>
      </c>
      <c r="S16" s="44"/>
      <c r="T16" s="43"/>
      <c r="U16" s="85"/>
      <c r="V16" s="44"/>
      <c r="W16" s="43"/>
      <c r="X16" s="85"/>
      <c r="Y16" s="44"/>
      <c r="Z16" s="43"/>
      <c r="AA16" s="85"/>
    </row>
    <row r="17" spans="1:27" s="36" customFormat="1" ht="15">
      <c r="A17" s="143" t="s">
        <v>103</v>
      </c>
      <c r="B17" s="224">
        <f>4257+6500</f>
        <v>10757</v>
      </c>
      <c r="C17" s="137"/>
      <c r="D17" s="43"/>
      <c r="E17" s="45"/>
      <c r="F17" s="137">
        <v>62</v>
      </c>
      <c r="G17" s="43">
        <v>62</v>
      </c>
      <c r="H17" s="45">
        <v>0</v>
      </c>
      <c r="I17" s="44">
        <v>40</v>
      </c>
      <c r="J17" s="43"/>
      <c r="K17" s="45"/>
      <c r="L17" s="44">
        <v>0</v>
      </c>
      <c r="M17" s="43"/>
      <c r="N17" s="205"/>
      <c r="O17" s="248">
        <v>6500</v>
      </c>
      <c r="P17" s="224">
        <f>B17-I17</f>
        <v>10717</v>
      </c>
      <c r="Q17" s="43">
        <f>B17-R17</f>
        <v>10757</v>
      </c>
      <c r="R17" s="205"/>
      <c r="S17" s="44"/>
      <c r="T17" s="43"/>
      <c r="U17" s="226">
        <f>B17*0.85</f>
        <v>9143.449999999999</v>
      </c>
      <c r="V17" s="44"/>
      <c r="W17" s="43"/>
      <c r="X17" s="85"/>
      <c r="Y17" s="44"/>
      <c r="Z17" s="43"/>
      <c r="AA17" s="85"/>
    </row>
    <row r="18" spans="1:27" s="36" customFormat="1" ht="15" hidden="1" outlineLevel="1">
      <c r="A18" s="143" t="s">
        <v>72</v>
      </c>
      <c r="B18" s="134">
        <f>I18</f>
        <v>897</v>
      </c>
      <c r="C18" s="137"/>
      <c r="D18" s="43"/>
      <c r="E18" s="45"/>
      <c r="F18" s="137"/>
      <c r="G18" s="43"/>
      <c r="H18" s="45"/>
      <c r="I18" s="44">
        <v>897</v>
      </c>
      <c r="J18" s="43"/>
      <c r="K18" s="45"/>
      <c r="L18" s="44">
        <v>2703</v>
      </c>
      <c r="M18" s="43" t="s">
        <v>78</v>
      </c>
      <c r="N18" s="232">
        <v>1794.27384</v>
      </c>
      <c r="O18" s="248"/>
      <c r="P18" s="134"/>
      <c r="Q18" s="254"/>
      <c r="R18" s="85"/>
      <c r="S18" s="44"/>
      <c r="T18" s="43"/>
      <c r="U18" s="85"/>
      <c r="V18" s="44"/>
      <c r="W18" s="43"/>
      <c r="X18" s="85"/>
      <c r="Y18" s="44"/>
      <c r="Z18" s="43"/>
      <c r="AA18" s="85"/>
    </row>
    <row r="19" spans="1:27" s="36" customFormat="1" ht="15" collapsed="1">
      <c r="A19" s="143" t="s">
        <v>117</v>
      </c>
      <c r="B19" s="224">
        <f>4800+1500</f>
        <v>6300</v>
      </c>
      <c r="C19" s="137"/>
      <c r="D19" s="43"/>
      <c r="E19" s="45"/>
      <c r="F19" s="137"/>
      <c r="G19" s="43"/>
      <c r="H19" s="45"/>
      <c r="I19" s="44">
        <v>115</v>
      </c>
      <c r="J19" s="43"/>
      <c r="K19" s="45"/>
      <c r="L19" s="223">
        <f>4685-4685</f>
        <v>0</v>
      </c>
      <c r="M19" s="43"/>
      <c r="N19" s="205"/>
      <c r="O19" s="248">
        <v>1500</v>
      </c>
      <c r="P19" s="224">
        <f>B19-I19</f>
        <v>6185</v>
      </c>
      <c r="Q19" s="43">
        <f>B19-U19</f>
        <v>945</v>
      </c>
      <c r="R19" s="85"/>
      <c r="S19" s="44"/>
      <c r="T19" s="43"/>
      <c r="U19" s="85">
        <f>B19*0.85</f>
        <v>5355</v>
      </c>
      <c r="V19" s="44"/>
      <c r="W19" s="43"/>
      <c r="X19" s="85"/>
      <c r="Y19" s="44"/>
      <c r="Z19" s="43"/>
      <c r="AA19" s="85"/>
    </row>
    <row r="20" spans="1:27" s="36" customFormat="1" ht="15" hidden="1" outlineLevel="1">
      <c r="A20" s="143" t="s">
        <v>104</v>
      </c>
      <c r="B20" s="224">
        <f>12000-12000</f>
        <v>0</v>
      </c>
      <c r="C20" s="137"/>
      <c r="D20" s="43"/>
      <c r="E20" s="45"/>
      <c r="F20" s="137"/>
      <c r="G20" s="43"/>
      <c r="H20" s="45"/>
      <c r="I20" s="44"/>
      <c r="J20" s="43"/>
      <c r="K20" s="45"/>
      <c r="L20" s="44"/>
      <c r="M20" s="43"/>
      <c r="N20" s="205"/>
      <c r="O20" s="248"/>
      <c r="P20" s="224">
        <f>1200-1200</f>
        <v>0</v>
      </c>
      <c r="Q20" s="225">
        <f>1200-1200</f>
        <v>0</v>
      </c>
      <c r="R20" s="85"/>
      <c r="S20" s="223">
        <f>B20-P20</f>
        <v>0</v>
      </c>
      <c r="T20" s="225">
        <f>S20-U20</f>
        <v>0</v>
      </c>
      <c r="U20" s="226">
        <f>B20*0.85</f>
        <v>0</v>
      </c>
      <c r="V20" s="44"/>
      <c r="W20" s="43"/>
      <c r="X20" s="85"/>
      <c r="Y20" s="44"/>
      <c r="Z20" s="43"/>
      <c r="AA20" s="85"/>
    </row>
    <row r="21" spans="1:27" s="36" customFormat="1" ht="25.5" collapsed="1">
      <c r="A21" s="143" t="s">
        <v>73</v>
      </c>
      <c r="B21" s="134">
        <v>23250</v>
      </c>
      <c r="C21" s="137"/>
      <c r="D21" s="43"/>
      <c r="E21" s="45"/>
      <c r="F21" s="137">
        <v>70</v>
      </c>
      <c r="G21" s="43">
        <v>70</v>
      </c>
      <c r="H21" s="45">
        <v>0</v>
      </c>
      <c r="I21" s="44">
        <v>497</v>
      </c>
      <c r="J21" s="43">
        <f>B21-N21</f>
        <v>11617.42523</v>
      </c>
      <c r="K21" s="45"/>
      <c r="L21" s="44">
        <f>22752-6752-3000</f>
        <v>13000</v>
      </c>
      <c r="M21" s="43">
        <v>0</v>
      </c>
      <c r="N21" s="233">
        <v>11632.57477</v>
      </c>
      <c r="O21" s="248">
        <v>0</v>
      </c>
      <c r="P21" s="134">
        <v>3000</v>
      </c>
      <c r="Q21" s="43"/>
      <c r="R21" s="85"/>
      <c r="S21" s="44"/>
      <c r="T21" s="43"/>
      <c r="U21" s="85"/>
      <c r="V21" s="44"/>
      <c r="W21" s="43"/>
      <c r="X21" s="85"/>
      <c r="Y21" s="44"/>
      <c r="Z21" s="43"/>
      <c r="AA21" s="85"/>
    </row>
    <row r="22" spans="1:27" s="36" customFormat="1" ht="15">
      <c r="A22" s="143" t="s">
        <v>118</v>
      </c>
      <c r="B22" s="134">
        <f>P22+S22</f>
        <v>29600</v>
      </c>
      <c r="C22" s="137"/>
      <c r="D22" s="43"/>
      <c r="E22" s="45"/>
      <c r="F22" s="137">
        <v>59</v>
      </c>
      <c r="G22" s="43">
        <v>59</v>
      </c>
      <c r="H22" s="45">
        <v>0</v>
      </c>
      <c r="I22" s="44"/>
      <c r="J22" s="43"/>
      <c r="K22" s="45"/>
      <c r="L22" s="44">
        <v>0</v>
      </c>
      <c r="M22" s="43"/>
      <c r="N22" s="205"/>
      <c r="O22" s="248">
        <v>0</v>
      </c>
      <c r="P22" s="134">
        <v>1600</v>
      </c>
      <c r="Q22" s="43">
        <f>P22-R22</f>
        <v>1600</v>
      </c>
      <c r="R22" s="85">
        <v>0</v>
      </c>
      <c r="S22" s="44">
        <v>28000</v>
      </c>
      <c r="T22" s="43">
        <f>S22-U22</f>
        <v>14000</v>
      </c>
      <c r="U22" s="85">
        <v>14000</v>
      </c>
      <c r="V22" s="44"/>
      <c r="W22" s="43"/>
      <c r="X22" s="85"/>
      <c r="Y22" s="44"/>
      <c r="Z22" s="43"/>
      <c r="AA22" s="85"/>
    </row>
    <row r="23" spans="1:27" s="36" customFormat="1" ht="15" hidden="1" outlineLevel="1">
      <c r="A23" s="143" t="s">
        <v>76</v>
      </c>
      <c r="B23" s="134">
        <f>I23</f>
        <v>2876</v>
      </c>
      <c r="C23" s="137"/>
      <c r="D23" s="43"/>
      <c r="E23" s="45"/>
      <c r="F23" s="137"/>
      <c r="G23" s="43"/>
      <c r="H23" s="45"/>
      <c r="I23" s="44">
        <v>2876</v>
      </c>
      <c r="J23" s="43">
        <f>I23-N23</f>
        <v>344.03150000000005</v>
      </c>
      <c r="K23" s="45"/>
      <c r="L23" s="44"/>
      <c r="M23" s="43"/>
      <c r="N23" s="232">
        <v>2531.9685</v>
      </c>
      <c r="O23" s="248"/>
      <c r="P23" s="134"/>
      <c r="Q23" s="43"/>
      <c r="R23" s="85"/>
      <c r="S23" s="44"/>
      <c r="T23" s="43"/>
      <c r="U23" s="85"/>
      <c r="V23" s="44"/>
      <c r="W23" s="43"/>
      <c r="X23" s="85"/>
      <c r="Y23" s="44"/>
      <c r="Z23" s="43"/>
      <c r="AA23" s="85"/>
    </row>
    <row r="24" spans="1:27" s="36" customFormat="1" ht="15" collapsed="1">
      <c r="A24" s="143" t="s">
        <v>125</v>
      </c>
      <c r="B24" s="134">
        <f>L24+P24</f>
        <v>13123</v>
      </c>
      <c r="C24" s="137"/>
      <c r="D24" s="43"/>
      <c r="E24" s="45"/>
      <c r="F24" s="137"/>
      <c r="G24" s="43"/>
      <c r="H24" s="45"/>
      <c r="I24" s="44"/>
      <c r="J24" s="166"/>
      <c r="K24" s="45"/>
      <c r="L24" s="44">
        <v>5123</v>
      </c>
      <c r="M24" s="43">
        <f>L24-R24</f>
        <v>5123</v>
      </c>
      <c r="N24" s="256">
        <v>4428.3942</v>
      </c>
      <c r="O24" s="248">
        <v>8000</v>
      </c>
      <c r="P24" s="134">
        <v>8000</v>
      </c>
      <c r="Q24" s="43">
        <f>P24-U24</f>
        <v>1200</v>
      </c>
      <c r="R24" s="85"/>
      <c r="S24" s="44"/>
      <c r="T24" s="43"/>
      <c r="U24" s="85">
        <f>P24*0.85</f>
        <v>6800</v>
      </c>
      <c r="V24" s="44"/>
      <c r="W24" s="43"/>
      <c r="X24" s="85"/>
      <c r="Y24" s="44"/>
      <c r="Z24" s="43"/>
      <c r="AA24" s="85"/>
    </row>
    <row r="25" spans="1:27" s="36" customFormat="1" ht="15">
      <c r="A25" s="143" t="s">
        <v>83</v>
      </c>
      <c r="B25" s="134">
        <f>L25</f>
        <v>1724</v>
      </c>
      <c r="C25" s="137"/>
      <c r="D25" s="43"/>
      <c r="E25" s="45"/>
      <c r="F25" s="137"/>
      <c r="G25" s="43"/>
      <c r="H25" s="45"/>
      <c r="I25" s="44"/>
      <c r="J25" s="166"/>
      <c r="K25" s="45"/>
      <c r="L25" s="44">
        <f>1724</f>
        <v>1724</v>
      </c>
      <c r="M25" s="43">
        <f>L25-R25</f>
        <v>344.79999999999995</v>
      </c>
      <c r="N25" s="205"/>
      <c r="O25" s="248">
        <v>0</v>
      </c>
      <c r="P25" s="134"/>
      <c r="Q25" s="43"/>
      <c r="R25" s="85">
        <f>L25*0.8</f>
        <v>1379.2</v>
      </c>
      <c r="S25" s="44"/>
      <c r="T25" s="43"/>
      <c r="U25" s="85"/>
      <c r="V25" s="44"/>
      <c r="W25" s="43"/>
      <c r="X25" s="85"/>
      <c r="Y25" s="44"/>
      <c r="Z25" s="43"/>
      <c r="AA25" s="85"/>
    </row>
    <row r="26" spans="1:27" s="36" customFormat="1" ht="15">
      <c r="A26" s="143" t="s">
        <v>74</v>
      </c>
      <c r="B26" s="134">
        <v>2746.7</v>
      </c>
      <c r="C26" s="137"/>
      <c r="D26" s="43"/>
      <c r="E26" s="45"/>
      <c r="F26" s="137"/>
      <c r="G26" s="43"/>
      <c r="H26" s="45"/>
      <c r="I26" s="44"/>
      <c r="J26" s="43"/>
      <c r="K26" s="245">
        <v>1050.06825</v>
      </c>
      <c r="L26" s="223">
        <f>824.01+1098.68</f>
        <v>1922.69</v>
      </c>
      <c r="M26" s="225">
        <v>137.3</v>
      </c>
      <c r="N26" s="246">
        <v>0</v>
      </c>
      <c r="O26" s="248">
        <v>900</v>
      </c>
      <c r="P26" s="224">
        <f>B26-L26</f>
        <v>824.0099999999998</v>
      </c>
      <c r="Q26" s="43">
        <v>0</v>
      </c>
      <c r="R26" s="226">
        <v>1559.29675</v>
      </c>
      <c r="S26" s="44"/>
      <c r="T26" s="43"/>
      <c r="U26" s="85"/>
      <c r="V26" s="44"/>
      <c r="W26" s="43"/>
      <c r="X26" s="85"/>
      <c r="Y26" s="44"/>
      <c r="Z26" s="43"/>
      <c r="AA26" s="85"/>
    </row>
    <row r="27" spans="1:27" s="36" customFormat="1" ht="15">
      <c r="A27" s="143" t="s">
        <v>119</v>
      </c>
      <c r="B27" s="134">
        <v>17000</v>
      </c>
      <c r="C27" s="137"/>
      <c r="D27" s="43"/>
      <c r="E27" s="45"/>
      <c r="F27" s="137"/>
      <c r="G27" s="43"/>
      <c r="H27" s="45"/>
      <c r="I27" s="44"/>
      <c r="J27" s="43"/>
      <c r="K27" s="45"/>
      <c r="L27" s="44">
        <f>B27</f>
        <v>17000</v>
      </c>
      <c r="M27" s="43">
        <f>L27-R27</f>
        <v>3518</v>
      </c>
      <c r="N27" s="205"/>
      <c r="O27" s="248">
        <v>0</v>
      </c>
      <c r="P27" s="134"/>
      <c r="Q27" s="43"/>
      <c r="R27" s="85">
        <f>14980*0.9</f>
        <v>13482</v>
      </c>
      <c r="S27" s="44"/>
      <c r="T27" s="43"/>
      <c r="U27" s="85"/>
      <c r="V27" s="44"/>
      <c r="W27" s="43"/>
      <c r="X27" s="85"/>
      <c r="Y27" s="44"/>
      <c r="Z27" s="43"/>
      <c r="AA27" s="85"/>
    </row>
    <row r="28" spans="1:27" s="36" customFormat="1" ht="25.5">
      <c r="A28" s="143" t="s">
        <v>80</v>
      </c>
      <c r="B28" s="134">
        <f>40000-800</f>
        <v>39200</v>
      </c>
      <c r="C28" s="137"/>
      <c r="D28" s="43"/>
      <c r="E28" s="45"/>
      <c r="F28" s="137"/>
      <c r="G28" s="43"/>
      <c r="H28" s="45"/>
      <c r="I28" s="44"/>
      <c r="J28" s="43"/>
      <c r="K28" s="45"/>
      <c r="L28" s="44">
        <f>29500-800</f>
        <v>28700</v>
      </c>
      <c r="M28" s="43">
        <f>L28+P28-R28</f>
        <v>5042</v>
      </c>
      <c r="N28" s="205"/>
      <c r="O28" s="248">
        <v>0</v>
      </c>
      <c r="P28" s="134">
        <f>B28-L28-I28</f>
        <v>10500</v>
      </c>
      <c r="Q28" s="43">
        <v>0</v>
      </c>
      <c r="R28" s="85">
        <v>34158</v>
      </c>
      <c r="S28" s="44"/>
      <c r="T28" s="43"/>
      <c r="U28" s="85"/>
      <c r="V28" s="44"/>
      <c r="W28" s="43"/>
      <c r="X28" s="85"/>
      <c r="Y28" s="44"/>
      <c r="Z28" s="43"/>
      <c r="AA28" s="85"/>
    </row>
    <row r="29" spans="1:27" s="36" customFormat="1" ht="25.5">
      <c r="A29" s="143" t="s">
        <v>120</v>
      </c>
      <c r="B29" s="134">
        <f>L29</f>
        <v>13500</v>
      </c>
      <c r="C29" s="137"/>
      <c r="D29" s="43"/>
      <c r="E29" s="45"/>
      <c r="F29" s="137"/>
      <c r="G29" s="43"/>
      <c r="H29" s="45"/>
      <c r="I29" s="44"/>
      <c r="J29" s="43"/>
      <c r="K29" s="45"/>
      <c r="L29" s="44">
        <f>15000*0.9</f>
        <v>13500</v>
      </c>
      <c r="M29" s="43">
        <f>L29-R29</f>
        <v>2025</v>
      </c>
      <c r="N29" s="205"/>
      <c r="O29" s="248">
        <v>0</v>
      </c>
      <c r="P29" s="134"/>
      <c r="Q29" s="43"/>
      <c r="R29" s="85">
        <f>L29*0.85</f>
        <v>11475</v>
      </c>
      <c r="S29" s="44"/>
      <c r="T29" s="43"/>
      <c r="U29" s="85"/>
      <c r="V29" s="44"/>
      <c r="W29" s="43"/>
      <c r="X29" s="85"/>
      <c r="Y29" s="44"/>
      <c r="Z29" s="43"/>
      <c r="AA29" s="85"/>
    </row>
    <row r="30" spans="1:27" s="36" customFormat="1" ht="14.25" customHeight="1">
      <c r="A30" s="143" t="s">
        <v>121</v>
      </c>
      <c r="B30" s="134">
        <f>L30</f>
        <v>7499</v>
      </c>
      <c r="C30" s="137"/>
      <c r="D30" s="43"/>
      <c r="E30" s="45"/>
      <c r="F30" s="137"/>
      <c r="G30" s="43"/>
      <c r="H30" s="45"/>
      <c r="I30" s="44"/>
      <c r="J30" s="43"/>
      <c r="K30" s="45"/>
      <c r="L30" s="44">
        <v>7499</v>
      </c>
      <c r="M30" s="43">
        <f>L30-R30</f>
        <v>1875</v>
      </c>
      <c r="N30" s="205"/>
      <c r="O30" s="248">
        <v>0</v>
      </c>
      <c r="P30" s="134"/>
      <c r="Q30" s="43"/>
      <c r="R30" s="85">
        <f>5624</f>
        <v>5624</v>
      </c>
      <c r="S30" s="44"/>
      <c r="T30" s="43"/>
      <c r="U30" s="85"/>
      <c r="V30" s="44"/>
      <c r="W30" s="43"/>
      <c r="X30" s="85"/>
      <c r="Y30" s="44"/>
      <c r="Z30" s="43"/>
      <c r="AA30" s="85"/>
    </row>
    <row r="31" spans="1:27" s="36" customFormat="1" ht="15">
      <c r="A31" s="143" t="s">
        <v>122</v>
      </c>
      <c r="B31" s="134">
        <f>4690*1.21+125*1.21+3360*1.21+170*1.21</f>
        <v>10097.45</v>
      </c>
      <c r="C31" s="137"/>
      <c r="D31" s="43"/>
      <c r="E31" s="45"/>
      <c r="F31" s="137"/>
      <c r="G31" s="43"/>
      <c r="H31" s="45"/>
      <c r="I31" s="44"/>
      <c r="J31" s="43"/>
      <c r="K31" s="45"/>
      <c r="L31" s="44">
        <f>B31</f>
        <v>10097.45</v>
      </c>
      <c r="M31" s="43">
        <f>L31-R31</f>
        <v>5010.307500000001</v>
      </c>
      <c r="N31" s="205"/>
      <c r="O31" s="248">
        <v>0</v>
      </c>
      <c r="P31" s="134"/>
      <c r="Q31" s="43"/>
      <c r="R31" s="203">
        <f>(4690*1.21+125*1.21)*0.25+(3360*1.21+170*1.21)*0.85</f>
        <v>5087.1425</v>
      </c>
      <c r="S31" s="44"/>
      <c r="T31" s="43"/>
      <c r="U31" s="85"/>
      <c r="V31" s="44"/>
      <c r="W31" s="43"/>
      <c r="X31" s="85"/>
      <c r="Y31" s="44"/>
      <c r="Z31" s="43"/>
      <c r="AA31" s="85"/>
    </row>
    <row r="32" spans="1:27" s="36" customFormat="1" ht="15">
      <c r="A32" s="143" t="s">
        <v>123</v>
      </c>
      <c r="B32" s="134">
        <f>L32+P32</f>
        <v>79740</v>
      </c>
      <c r="C32" s="137"/>
      <c r="D32" s="43"/>
      <c r="E32" s="45"/>
      <c r="F32" s="137"/>
      <c r="G32" s="43"/>
      <c r="H32" s="45"/>
      <c r="I32" s="44"/>
      <c r="J32" s="43"/>
      <c r="K32" s="45"/>
      <c r="L32" s="44">
        <f>38000*0.93+3400</f>
        <v>38740</v>
      </c>
      <c r="M32" s="43">
        <f>L32-R32-U32</f>
        <v>20687.425000000003</v>
      </c>
      <c r="N32" s="205"/>
      <c r="O32" s="248">
        <v>41000</v>
      </c>
      <c r="P32" s="224">
        <f>32000+9000</f>
        <v>41000</v>
      </c>
      <c r="Q32" s="43"/>
      <c r="R32" s="85">
        <f>6684.757+4483.986</f>
        <v>11168.742999999999</v>
      </c>
      <c r="S32" s="44"/>
      <c r="T32" s="43"/>
      <c r="U32" s="85">
        <f>5690.612+1193.22</f>
        <v>6883.832</v>
      </c>
      <c r="V32" s="44"/>
      <c r="W32" s="43"/>
      <c r="X32" s="85"/>
      <c r="Y32" s="44"/>
      <c r="Z32" s="43"/>
      <c r="AA32" s="85"/>
    </row>
    <row r="33" spans="1:27" s="36" customFormat="1" ht="25.5">
      <c r="A33" s="143" t="s">
        <v>84</v>
      </c>
      <c r="B33" s="134">
        <v>26000</v>
      </c>
      <c r="C33" s="137"/>
      <c r="D33" s="43"/>
      <c r="E33" s="45"/>
      <c r="F33" s="137"/>
      <c r="G33" s="43"/>
      <c r="H33" s="45"/>
      <c r="I33" s="44"/>
      <c r="J33" s="43"/>
      <c r="K33" s="45"/>
      <c r="L33" s="44">
        <v>0</v>
      </c>
      <c r="M33" s="43">
        <v>0</v>
      </c>
      <c r="N33" s="205"/>
      <c r="O33" s="248">
        <v>0</v>
      </c>
      <c r="P33" s="134"/>
      <c r="Q33" s="43"/>
      <c r="R33" s="85"/>
      <c r="S33" s="44"/>
      <c r="T33" s="43"/>
      <c r="U33" s="85"/>
      <c r="V33" s="44">
        <v>26000</v>
      </c>
      <c r="W33" s="43">
        <f>V33-AA33</f>
        <v>26000</v>
      </c>
      <c r="X33" s="85">
        <v>0</v>
      </c>
      <c r="Y33" s="44"/>
      <c r="Z33" s="43"/>
      <c r="AA33" s="85"/>
    </row>
    <row r="34" spans="1:27" s="36" customFormat="1" ht="15" hidden="1" outlineLevel="1">
      <c r="A34" s="143" t="s">
        <v>90</v>
      </c>
      <c r="B34" s="134">
        <v>9800</v>
      </c>
      <c r="C34" s="137"/>
      <c r="D34" s="43"/>
      <c r="E34" s="45"/>
      <c r="F34" s="137"/>
      <c r="G34" s="43"/>
      <c r="H34" s="45"/>
      <c r="I34" s="44"/>
      <c r="J34" s="43"/>
      <c r="K34" s="45"/>
      <c r="L34" s="137">
        <v>9800</v>
      </c>
      <c r="M34" s="43">
        <v>9800</v>
      </c>
      <c r="N34" s="205"/>
      <c r="O34" s="248"/>
      <c r="P34" s="134"/>
      <c r="Q34" s="43"/>
      <c r="R34" s="85"/>
      <c r="S34" s="44"/>
      <c r="T34" s="43"/>
      <c r="U34" s="85"/>
      <c r="V34" s="44"/>
      <c r="W34" s="43"/>
      <c r="X34" s="85"/>
      <c r="Y34" s="44"/>
      <c r="Z34" s="43"/>
      <c r="AA34" s="85"/>
    </row>
    <row r="35" spans="1:27" s="36" customFormat="1" ht="15" collapsed="1">
      <c r="A35" s="143" t="s">
        <v>91</v>
      </c>
      <c r="B35" s="134">
        <v>10500</v>
      </c>
      <c r="C35" s="137"/>
      <c r="D35" s="43"/>
      <c r="E35" s="45"/>
      <c r="F35" s="137"/>
      <c r="G35" s="43"/>
      <c r="H35" s="45"/>
      <c r="I35" s="44"/>
      <c r="J35" s="43"/>
      <c r="K35" s="45"/>
      <c r="L35" s="134">
        <v>10500</v>
      </c>
      <c r="M35" s="43">
        <f>L35-N35</f>
        <v>1367</v>
      </c>
      <c r="N35" s="205">
        <v>9133</v>
      </c>
      <c r="O35" s="248"/>
      <c r="P35" s="134"/>
      <c r="Q35" s="43"/>
      <c r="R35" s="85"/>
      <c r="S35" s="44"/>
      <c r="T35" s="43"/>
      <c r="U35" s="85"/>
      <c r="V35" s="44"/>
      <c r="W35" s="43"/>
      <c r="X35" s="85"/>
      <c r="Y35" s="44"/>
      <c r="Z35" s="43"/>
      <c r="AA35" s="85"/>
    </row>
    <row r="36" spans="1:27" s="36" customFormat="1" ht="15">
      <c r="A36" s="143" t="s">
        <v>89</v>
      </c>
      <c r="B36" s="134">
        <f>P36</f>
        <v>5000</v>
      </c>
      <c r="C36" s="137"/>
      <c r="D36" s="43"/>
      <c r="E36" s="45"/>
      <c r="F36" s="137"/>
      <c r="G36" s="43"/>
      <c r="H36" s="45"/>
      <c r="I36" s="44"/>
      <c r="J36" s="43"/>
      <c r="K36" s="45"/>
      <c r="L36" s="44"/>
      <c r="M36" s="43"/>
      <c r="N36" s="205"/>
      <c r="O36" s="255">
        <v>5000</v>
      </c>
      <c r="P36" s="224">
        <f>23000-18000</f>
        <v>5000</v>
      </c>
      <c r="Q36" s="43"/>
      <c r="R36" s="85"/>
      <c r="S36" s="44"/>
      <c r="T36" s="43"/>
      <c r="U36" s="85"/>
      <c r="V36" s="44"/>
      <c r="W36" s="43"/>
      <c r="X36" s="85"/>
      <c r="Y36" s="44"/>
      <c r="Z36" s="43"/>
      <c r="AA36" s="85"/>
    </row>
    <row r="37" spans="1:27" s="36" customFormat="1" ht="25.5">
      <c r="A37" s="143" t="s">
        <v>92</v>
      </c>
      <c r="B37" s="134">
        <v>21818.602</v>
      </c>
      <c r="C37" s="137"/>
      <c r="D37" s="43"/>
      <c r="E37" s="45"/>
      <c r="F37" s="137"/>
      <c r="G37" s="43"/>
      <c r="H37" s="45"/>
      <c r="I37" s="44"/>
      <c r="J37" s="43"/>
      <c r="K37" s="45"/>
      <c r="L37" s="44">
        <v>5455</v>
      </c>
      <c r="M37" s="43"/>
      <c r="N37" s="205"/>
      <c r="O37" s="248">
        <v>0</v>
      </c>
      <c r="P37" s="134">
        <f>B37-L37</f>
        <v>16363.601999999999</v>
      </c>
      <c r="Q37" s="43"/>
      <c r="R37" s="85"/>
      <c r="S37" s="44"/>
      <c r="T37" s="43"/>
      <c r="U37" s="85"/>
      <c r="V37" s="44"/>
      <c r="W37" s="43"/>
      <c r="X37" s="85"/>
      <c r="Y37" s="44"/>
      <c r="Z37" s="43"/>
      <c r="AA37" s="85"/>
    </row>
    <row r="38" spans="1:27" s="36" customFormat="1" ht="14.25" customHeight="1" hidden="1" outlineLevel="1">
      <c r="A38" s="143" t="s">
        <v>105</v>
      </c>
      <c r="B38" s="224">
        <v>0</v>
      </c>
      <c r="C38" s="137"/>
      <c r="D38" s="43"/>
      <c r="E38" s="45"/>
      <c r="F38" s="137"/>
      <c r="G38" s="43"/>
      <c r="H38" s="45"/>
      <c r="I38" s="44"/>
      <c r="J38" s="43"/>
      <c r="K38" s="45"/>
      <c r="L38" s="44"/>
      <c r="M38" s="43"/>
      <c r="N38" s="205"/>
      <c r="O38" s="248"/>
      <c r="P38" s="134"/>
      <c r="Q38" s="43"/>
      <c r="R38" s="85"/>
      <c r="S38" s="223">
        <v>0</v>
      </c>
      <c r="T38" s="225">
        <v>0</v>
      </c>
      <c r="U38" s="226">
        <v>0</v>
      </c>
      <c r="V38" s="223">
        <v>0</v>
      </c>
      <c r="W38" s="225">
        <v>0</v>
      </c>
      <c r="X38" s="226">
        <v>0</v>
      </c>
      <c r="Y38" s="223">
        <v>0</v>
      </c>
      <c r="Z38" s="225">
        <v>0</v>
      </c>
      <c r="AA38" s="226">
        <f>X38*9</f>
        <v>0</v>
      </c>
    </row>
    <row r="39" spans="1:27" s="36" customFormat="1" ht="15" collapsed="1">
      <c r="A39" s="143" t="s">
        <v>106</v>
      </c>
      <c r="B39" s="134">
        <v>115000</v>
      </c>
      <c r="C39" s="137"/>
      <c r="D39" s="43"/>
      <c r="E39" s="45"/>
      <c r="F39" s="137"/>
      <c r="G39" s="43"/>
      <c r="H39" s="45"/>
      <c r="I39" s="44"/>
      <c r="J39" s="43"/>
      <c r="K39" s="45"/>
      <c r="L39" s="44"/>
      <c r="M39" s="43"/>
      <c r="N39" s="205"/>
      <c r="O39" s="248">
        <v>115000</v>
      </c>
      <c r="P39" s="134">
        <v>5000</v>
      </c>
      <c r="Q39" s="43">
        <f>P39-R39</f>
        <v>5000</v>
      </c>
      <c r="R39" s="85"/>
      <c r="S39" s="224">
        <v>38000</v>
      </c>
      <c r="T39" s="43">
        <f>S39-U39</f>
        <v>33750</v>
      </c>
      <c r="U39" s="85">
        <f>P39*0.85</f>
        <v>4250</v>
      </c>
      <c r="V39" s="44">
        <v>40000</v>
      </c>
      <c r="W39" s="43">
        <f>V39-X39</f>
        <v>7700</v>
      </c>
      <c r="X39" s="85">
        <f>S39*0.85</f>
        <v>32300</v>
      </c>
      <c r="Y39" s="223">
        <f>B39-P39-S39-V39</f>
        <v>32000</v>
      </c>
      <c r="Z39" s="43">
        <f>Y39-AA39</f>
        <v>-29200</v>
      </c>
      <c r="AA39" s="85">
        <f>(V39+Y39)*0.85</f>
        <v>61200</v>
      </c>
    </row>
    <row r="40" spans="1:27" s="36" customFormat="1" ht="15">
      <c r="A40" s="143" t="s">
        <v>107</v>
      </c>
      <c r="B40" s="134">
        <v>16500</v>
      </c>
      <c r="C40" s="137"/>
      <c r="D40" s="43"/>
      <c r="E40" s="45"/>
      <c r="F40" s="137"/>
      <c r="G40" s="43"/>
      <c r="H40" s="45"/>
      <c r="I40" s="44"/>
      <c r="J40" s="43"/>
      <c r="K40" s="45"/>
      <c r="L40" s="44"/>
      <c r="M40" s="43"/>
      <c r="N40" s="205"/>
      <c r="O40" s="248">
        <v>16500</v>
      </c>
      <c r="P40" s="134">
        <v>10000</v>
      </c>
      <c r="Q40" s="43">
        <f>B40-U40</f>
        <v>2475</v>
      </c>
      <c r="R40" s="85"/>
      <c r="S40" s="44">
        <v>6500</v>
      </c>
      <c r="T40" s="43">
        <v>0</v>
      </c>
      <c r="U40" s="85">
        <f>B40*0.85</f>
        <v>14025</v>
      </c>
      <c r="V40" s="44"/>
      <c r="W40" s="43"/>
      <c r="X40" s="85"/>
      <c r="Y40" s="44"/>
      <c r="Z40" s="43"/>
      <c r="AA40" s="85"/>
    </row>
    <row r="41" spans="1:27" s="36" customFormat="1" ht="15">
      <c r="A41" s="143" t="s">
        <v>126</v>
      </c>
      <c r="B41" s="134">
        <f>P41</f>
        <v>4000</v>
      </c>
      <c r="C41" s="137"/>
      <c r="D41" s="43"/>
      <c r="E41" s="45"/>
      <c r="F41" s="137"/>
      <c r="G41" s="43"/>
      <c r="H41" s="45"/>
      <c r="I41" s="44"/>
      <c r="J41" s="43"/>
      <c r="K41" s="45"/>
      <c r="L41" s="44"/>
      <c r="M41" s="43"/>
      <c r="N41" s="205"/>
      <c r="O41" s="248">
        <v>4000</v>
      </c>
      <c r="P41" s="134">
        <v>4000</v>
      </c>
      <c r="Q41" s="43">
        <f>P41-R41</f>
        <v>2000</v>
      </c>
      <c r="R41" s="85">
        <f>4000*0.5</f>
        <v>2000</v>
      </c>
      <c r="S41" s="217"/>
      <c r="T41" s="43"/>
      <c r="U41" s="85"/>
      <c r="V41" s="44"/>
      <c r="W41" s="43"/>
      <c r="X41" s="85"/>
      <c r="Y41" s="44"/>
      <c r="Z41" s="43"/>
      <c r="AA41" s="85"/>
    </row>
    <row r="42" spans="1:27" s="36" customFormat="1" ht="25.5">
      <c r="A42" s="143" t="s">
        <v>100</v>
      </c>
      <c r="B42" s="134">
        <f>P42</f>
        <v>20000</v>
      </c>
      <c r="C42" s="137"/>
      <c r="D42" s="43"/>
      <c r="E42" s="45"/>
      <c r="F42" s="137"/>
      <c r="G42" s="43"/>
      <c r="H42" s="45"/>
      <c r="I42" s="44"/>
      <c r="J42" s="43"/>
      <c r="K42" s="45"/>
      <c r="L42" s="44"/>
      <c r="M42" s="43"/>
      <c r="N42" s="205"/>
      <c r="O42" s="248">
        <v>20000</v>
      </c>
      <c r="P42" s="134">
        <v>20000</v>
      </c>
      <c r="Q42" s="43">
        <f>P42-R42</f>
        <v>1547.5</v>
      </c>
      <c r="R42" s="85">
        <f>15250*1.21</f>
        <v>18452.5</v>
      </c>
      <c r="S42" s="44"/>
      <c r="T42" s="43"/>
      <c r="U42" s="85"/>
      <c r="V42" s="44"/>
      <c r="W42" s="43"/>
      <c r="X42" s="85"/>
      <c r="Y42" s="44"/>
      <c r="Z42" s="43"/>
      <c r="AA42" s="85"/>
    </row>
    <row r="43" spans="1:27" s="36" customFormat="1" ht="15">
      <c r="A43" s="231" t="s">
        <v>108</v>
      </c>
      <c r="B43" s="224">
        <f>P43+S43</f>
        <v>5700</v>
      </c>
      <c r="C43" s="137"/>
      <c r="D43" s="43"/>
      <c r="E43" s="45"/>
      <c r="F43" s="137"/>
      <c r="G43" s="43"/>
      <c r="H43" s="45"/>
      <c r="I43" s="44"/>
      <c r="J43" s="43"/>
      <c r="K43" s="45"/>
      <c r="L43" s="44"/>
      <c r="M43" s="43"/>
      <c r="N43" s="205"/>
      <c r="O43" s="248">
        <v>500</v>
      </c>
      <c r="P43" s="134">
        <v>500</v>
      </c>
      <c r="Q43" s="43"/>
      <c r="R43" s="85"/>
      <c r="S43" s="44">
        <v>5200</v>
      </c>
      <c r="T43" s="43"/>
      <c r="U43" s="85"/>
      <c r="V43" s="44"/>
      <c r="W43" s="43"/>
      <c r="X43" s="85"/>
      <c r="Y43" s="44"/>
      <c r="Z43" s="43"/>
      <c r="AA43" s="85"/>
    </row>
    <row r="44" spans="1:27" s="36" customFormat="1" ht="25.5">
      <c r="A44" s="231" t="s">
        <v>109</v>
      </c>
      <c r="B44" s="224">
        <f>P44+S44</f>
        <v>9500</v>
      </c>
      <c r="C44" s="137"/>
      <c r="D44" s="43"/>
      <c r="E44" s="45"/>
      <c r="F44" s="137"/>
      <c r="G44" s="43"/>
      <c r="H44" s="45"/>
      <c r="I44" s="44"/>
      <c r="J44" s="43"/>
      <c r="K44" s="45"/>
      <c r="L44" s="44"/>
      <c r="M44" s="43"/>
      <c r="N44" s="205"/>
      <c r="O44" s="248">
        <v>500</v>
      </c>
      <c r="P44" s="134">
        <v>500</v>
      </c>
      <c r="Q44" s="43"/>
      <c r="R44" s="85"/>
      <c r="S44" s="44">
        <v>9000</v>
      </c>
      <c r="T44" s="43"/>
      <c r="U44" s="85"/>
      <c r="V44" s="44"/>
      <c r="W44" s="43"/>
      <c r="X44" s="85"/>
      <c r="Y44" s="44"/>
      <c r="Z44" s="43"/>
      <c r="AA44" s="85"/>
    </row>
    <row r="45" spans="1:27" s="36" customFormat="1" ht="15">
      <c r="A45" s="143"/>
      <c r="B45" s="134"/>
      <c r="C45" s="137"/>
      <c r="D45" s="43"/>
      <c r="E45" s="45"/>
      <c r="F45" s="137"/>
      <c r="G45" s="43"/>
      <c r="H45" s="45"/>
      <c r="I45" s="44"/>
      <c r="J45" s="43"/>
      <c r="K45" s="45"/>
      <c r="L45" s="44"/>
      <c r="M45" s="43"/>
      <c r="N45" s="205"/>
      <c r="O45" s="248"/>
      <c r="P45" s="134"/>
      <c r="Q45" s="43"/>
      <c r="R45" s="85"/>
      <c r="S45" s="44"/>
      <c r="T45" s="43"/>
      <c r="U45" s="85"/>
      <c r="V45" s="44"/>
      <c r="W45" s="43"/>
      <c r="X45" s="85"/>
      <c r="Y45" s="44"/>
      <c r="Z45" s="43"/>
      <c r="AA45" s="85"/>
    </row>
    <row r="46" spans="1:27" s="36" customFormat="1" ht="4.5" customHeight="1">
      <c r="A46" s="144"/>
      <c r="B46" s="138"/>
      <c r="C46" s="140"/>
      <c r="D46" s="37"/>
      <c r="E46" s="46"/>
      <c r="F46" s="140"/>
      <c r="G46" s="37"/>
      <c r="H46" s="46"/>
      <c r="I46" s="38"/>
      <c r="J46" s="37"/>
      <c r="K46" s="46"/>
      <c r="L46" s="38"/>
      <c r="M46" s="37"/>
      <c r="N46" s="234"/>
      <c r="O46" s="238"/>
      <c r="P46" s="138"/>
      <c r="Q46" s="37"/>
      <c r="R46" s="46"/>
      <c r="S46" s="38"/>
      <c r="T46" s="37"/>
      <c r="U46" s="46"/>
      <c r="V46" s="38"/>
      <c r="W46" s="37"/>
      <c r="X46" s="46"/>
      <c r="Y46" s="38"/>
      <c r="Z46" s="37"/>
      <c r="AA46" s="46"/>
    </row>
    <row r="47" spans="1:27" s="49" customFormat="1" ht="15.75" customHeight="1" thickBot="1">
      <c r="A47" s="145" t="s">
        <v>52</v>
      </c>
      <c r="B47" s="135"/>
      <c r="C47" s="215">
        <v>0</v>
      </c>
      <c r="D47" s="47">
        <f>C47</f>
        <v>0</v>
      </c>
      <c r="E47" s="48">
        <v>0</v>
      </c>
      <c r="F47" s="215">
        <v>0</v>
      </c>
      <c r="G47" s="47">
        <f>F47</f>
        <v>0</v>
      </c>
      <c r="H47" s="48">
        <v>0</v>
      </c>
      <c r="I47" s="216">
        <v>0</v>
      </c>
      <c r="J47" s="47"/>
      <c r="K47" s="48"/>
      <c r="L47" s="216">
        <v>0</v>
      </c>
      <c r="M47" s="47"/>
      <c r="N47" s="235"/>
      <c r="O47" s="239"/>
      <c r="P47" s="135">
        <v>0</v>
      </c>
      <c r="Q47" s="47"/>
      <c r="R47" s="48"/>
      <c r="S47" s="216">
        <v>0</v>
      </c>
      <c r="T47" s="47"/>
      <c r="U47" s="48"/>
      <c r="V47" s="216">
        <v>80000</v>
      </c>
      <c r="W47" s="47"/>
      <c r="X47" s="48"/>
      <c r="Y47" s="216"/>
      <c r="Z47" s="47"/>
      <c r="AA47" s="48"/>
    </row>
    <row r="48" spans="1:27" ht="6.75" customHeight="1" thickBot="1">
      <c r="A48" s="50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s="56" customFormat="1" ht="15.75" customHeight="1" thickBot="1">
      <c r="A49" s="53" t="s">
        <v>53</v>
      </c>
      <c r="B49" s="54"/>
      <c r="C49" s="142">
        <f>SUM(C6:C47)</f>
        <v>613</v>
      </c>
      <c r="D49" s="54">
        <f>SUM(D6:D47)</f>
        <v>613</v>
      </c>
      <c r="E49" s="75">
        <f>SUM(E6:E47)</f>
        <v>0</v>
      </c>
      <c r="F49" s="141">
        <f aca="true" t="shared" si="0" ref="F49:U49">SUM(F6:F47)</f>
        <v>15161.207999999999</v>
      </c>
      <c r="G49" s="54">
        <f t="shared" si="0"/>
        <v>15313.207999999999</v>
      </c>
      <c r="H49" s="75">
        <f t="shared" si="0"/>
        <v>0</v>
      </c>
      <c r="I49" s="55">
        <f t="shared" si="0"/>
        <v>86954</v>
      </c>
      <c r="J49" s="54">
        <f t="shared" si="0"/>
        <v>72860.45672999999</v>
      </c>
      <c r="K49" s="75">
        <f t="shared" si="0"/>
        <v>1050.06825</v>
      </c>
      <c r="L49" s="55">
        <f t="shared" si="0"/>
        <v>280398.14</v>
      </c>
      <c r="M49" s="54">
        <f t="shared" si="0"/>
        <v>111071.8325</v>
      </c>
      <c r="N49" s="75">
        <f>SUM(N6:N47)</f>
        <v>30801.69157</v>
      </c>
      <c r="O49" s="242">
        <f>SUM(O6:O47)</f>
        <v>238700</v>
      </c>
      <c r="P49" s="55">
        <f>SUM(P6:P47)</f>
        <v>270739.612</v>
      </c>
      <c r="Q49" s="54">
        <f t="shared" si="0"/>
        <v>57849.5</v>
      </c>
      <c r="R49" s="75">
        <f>SUM(R6:R47)</f>
        <v>182617.76115999997</v>
      </c>
      <c r="S49" s="55">
        <f>SUM(S6:S47)</f>
        <v>176699.88</v>
      </c>
      <c r="T49" s="54">
        <f t="shared" si="0"/>
        <v>137749.88</v>
      </c>
      <c r="U49" s="75">
        <f t="shared" si="0"/>
        <v>71932.282</v>
      </c>
      <c r="V49" s="55">
        <f aca="true" t="shared" si="1" ref="V49:AA49">SUM(V6:V47)</f>
        <v>146000</v>
      </c>
      <c r="W49" s="54">
        <f t="shared" si="1"/>
        <v>33700</v>
      </c>
      <c r="X49" s="75">
        <f t="shared" si="1"/>
        <v>32300</v>
      </c>
      <c r="Y49" s="55">
        <f t="shared" si="1"/>
        <v>182000</v>
      </c>
      <c r="Z49" s="54">
        <f t="shared" si="1"/>
        <v>-29200</v>
      </c>
      <c r="AA49" s="75">
        <f t="shared" si="1"/>
        <v>61200</v>
      </c>
    </row>
    <row r="50" spans="2:27" ht="5.25" customHeight="1">
      <c r="B50" s="40"/>
      <c r="C50" s="59"/>
      <c r="D50" s="51"/>
      <c r="E50" s="58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5.75" thickBot="1">
      <c r="A51" s="60" t="s">
        <v>54</v>
      </c>
      <c r="B51" s="40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ht="25.5">
      <c r="A52" s="184" t="s">
        <v>80</v>
      </c>
      <c r="B52" s="185">
        <f>I52+L52+P52</f>
        <v>35100</v>
      </c>
      <c r="C52" s="187"/>
      <c r="D52" s="132"/>
      <c r="E52" s="186"/>
      <c r="F52" s="133"/>
      <c r="G52" s="132"/>
      <c r="H52" s="186"/>
      <c r="I52" s="133">
        <v>220</v>
      </c>
      <c r="J52" s="132">
        <f>I52</f>
        <v>220</v>
      </c>
      <c r="K52" s="186"/>
      <c r="L52" s="133">
        <v>5000</v>
      </c>
      <c r="M52" s="132">
        <f>L52</f>
        <v>5000</v>
      </c>
      <c r="N52" s="131"/>
      <c r="O52" s="247">
        <v>0</v>
      </c>
      <c r="P52" s="133">
        <f>24780+5100</f>
        <v>29880</v>
      </c>
      <c r="Q52" s="132">
        <f>P52-R52</f>
        <v>3738</v>
      </c>
      <c r="R52" s="131">
        <v>26142</v>
      </c>
      <c r="S52" s="133"/>
      <c r="T52" s="132"/>
      <c r="U52" s="131"/>
      <c r="V52" s="133"/>
      <c r="W52" s="132"/>
      <c r="X52" s="131"/>
      <c r="Y52" s="133"/>
      <c r="Z52" s="132"/>
      <c r="AA52" s="131"/>
    </row>
    <row r="53" spans="1:27" ht="14.25" customHeight="1" hidden="1">
      <c r="A53" s="190" t="s">
        <v>63</v>
      </c>
      <c r="B53" s="161"/>
      <c r="C53" s="193">
        <v>200</v>
      </c>
      <c r="D53" s="160">
        <f>C53*0.15</f>
        <v>30</v>
      </c>
      <c r="E53" s="192">
        <f>C53-D53</f>
        <v>170</v>
      </c>
      <c r="F53" s="157">
        <v>0</v>
      </c>
      <c r="G53" s="160">
        <v>0</v>
      </c>
      <c r="H53" s="191">
        <v>2000</v>
      </c>
      <c r="I53" s="157"/>
      <c r="J53" s="160"/>
      <c r="K53" s="191"/>
      <c r="L53" s="157"/>
      <c r="M53" s="160"/>
      <c r="N53" s="173"/>
      <c r="O53" s="250"/>
      <c r="P53" s="157"/>
      <c r="Q53" s="160"/>
      <c r="R53" s="173"/>
      <c r="S53" s="157"/>
      <c r="T53" s="160"/>
      <c r="U53" s="173"/>
      <c r="V53" s="157"/>
      <c r="W53" s="160"/>
      <c r="X53" s="173"/>
      <c r="Y53" s="157"/>
      <c r="Z53" s="160"/>
      <c r="AA53" s="173"/>
    </row>
    <row r="54" spans="1:27" s="36" customFormat="1" ht="13.5" customHeight="1">
      <c r="A54" s="143" t="s">
        <v>75</v>
      </c>
      <c r="B54" s="134">
        <v>3046.5</v>
      </c>
      <c r="C54" s="137"/>
      <c r="D54" s="43"/>
      <c r="E54" s="45"/>
      <c r="F54" s="137"/>
      <c r="G54" s="43"/>
      <c r="H54" s="45"/>
      <c r="I54" s="44">
        <f>B54-L54-P54</f>
        <v>913.9520000000002</v>
      </c>
      <c r="J54" s="43">
        <f>I54-K54</f>
        <v>45.70000000000027</v>
      </c>
      <c r="K54" s="85">
        <v>868.252</v>
      </c>
      <c r="L54" s="44">
        <f>2*533.137</f>
        <v>1066.274</v>
      </c>
      <c r="M54" s="43">
        <f>L54-N54</f>
        <v>53.31399999999985</v>
      </c>
      <c r="N54" s="85">
        <f>2*506.48</f>
        <v>1012.96</v>
      </c>
      <c r="O54" s="248">
        <v>1066</v>
      </c>
      <c r="P54" s="134">
        <f>2*533.137</f>
        <v>1066.274</v>
      </c>
      <c r="Q54" s="43">
        <f>P54-R54</f>
        <v>53.31399999999985</v>
      </c>
      <c r="R54" s="85">
        <f>2*506.48</f>
        <v>1012.96</v>
      </c>
      <c r="S54" s="44"/>
      <c r="T54" s="43"/>
      <c r="U54" s="85"/>
      <c r="V54" s="44"/>
      <c r="W54" s="43"/>
      <c r="X54" s="85"/>
      <c r="Y54" s="44"/>
      <c r="Z54" s="43"/>
      <c r="AA54" s="85"/>
    </row>
    <row r="55" spans="1:27" ht="15">
      <c r="A55" s="190" t="s">
        <v>86</v>
      </c>
      <c r="B55" s="161"/>
      <c r="C55" s="193"/>
      <c r="D55" s="160"/>
      <c r="E55" s="192"/>
      <c r="F55" s="157"/>
      <c r="G55" s="160"/>
      <c r="H55" s="191"/>
      <c r="I55" s="157"/>
      <c r="J55" s="160"/>
      <c r="K55" s="191"/>
      <c r="L55" s="201">
        <v>2500</v>
      </c>
      <c r="M55" s="202">
        <f>L55-N55</f>
        <v>2500</v>
      </c>
      <c r="N55" s="204">
        <v>0</v>
      </c>
      <c r="O55" s="251">
        <v>0</v>
      </c>
      <c r="P55" s="157"/>
      <c r="Q55" s="160"/>
      <c r="R55" s="173">
        <f>2074.4845</f>
        <v>2074.4845</v>
      </c>
      <c r="S55" s="157"/>
      <c r="T55" s="160"/>
      <c r="U55" s="173"/>
      <c r="V55" s="157"/>
      <c r="W55" s="160"/>
      <c r="X55" s="173"/>
      <c r="Y55" s="157"/>
      <c r="Z55" s="160"/>
      <c r="AA55" s="173"/>
    </row>
    <row r="56" spans="1:27" ht="15" hidden="1" outlineLevel="1">
      <c r="A56" s="190" t="s">
        <v>124</v>
      </c>
      <c r="B56" s="228">
        <f>1500-1500</f>
        <v>0</v>
      </c>
      <c r="C56" s="193"/>
      <c r="D56" s="160"/>
      <c r="E56" s="192"/>
      <c r="F56" s="157"/>
      <c r="G56" s="160"/>
      <c r="H56" s="191"/>
      <c r="I56" s="157"/>
      <c r="J56" s="160"/>
      <c r="K56" s="191"/>
      <c r="L56" s="134"/>
      <c r="M56" s="202"/>
      <c r="N56" s="204"/>
      <c r="O56" s="251">
        <v>0</v>
      </c>
      <c r="P56" s="229">
        <f>B56</f>
        <v>0</v>
      </c>
      <c r="Q56" s="230">
        <f>P56-R56</f>
        <v>0</v>
      </c>
      <c r="R56" s="228">
        <f>0.5*P56</f>
        <v>0</v>
      </c>
      <c r="S56" s="157"/>
      <c r="T56" s="160"/>
      <c r="U56" s="173"/>
      <c r="V56" s="157"/>
      <c r="W56" s="160"/>
      <c r="X56" s="173"/>
      <c r="Y56" s="157"/>
      <c r="Z56" s="160"/>
      <c r="AA56" s="173"/>
    </row>
    <row r="57" spans="1:27" ht="15" collapsed="1">
      <c r="A57" s="188" t="s">
        <v>81</v>
      </c>
      <c r="B57" s="45"/>
      <c r="C57" s="139"/>
      <c r="D57" s="43"/>
      <c r="E57" s="189"/>
      <c r="F57" s="134"/>
      <c r="G57" s="43"/>
      <c r="H57" s="189"/>
      <c r="I57" s="134"/>
      <c r="J57" s="43"/>
      <c r="K57" s="189"/>
      <c r="L57" s="134"/>
      <c r="M57" s="43"/>
      <c r="N57" s="206">
        <f>14047+2208+1538</f>
        <v>17793</v>
      </c>
      <c r="O57" s="248">
        <v>20800</v>
      </c>
      <c r="P57" s="134">
        <v>20800</v>
      </c>
      <c r="Q57" s="43"/>
      <c r="R57" s="226">
        <v>20800</v>
      </c>
      <c r="S57" s="134"/>
      <c r="T57" s="43"/>
      <c r="U57" s="85">
        <f>15000+7000</f>
        <v>22000</v>
      </c>
      <c r="V57" s="134"/>
      <c r="W57" s="43"/>
      <c r="X57" s="85">
        <f>U57</f>
        <v>22000</v>
      </c>
      <c r="Y57" s="134"/>
      <c r="Z57" s="43"/>
      <c r="AA57" s="85"/>
    </row>
    <row r="58" spans="1:27" ht="15.75" thickBot="1">
      <c r="A58" s="176" t="s">
        <v>82</v>
      </c>
      <c r="B58" s="177"/>
      <c r="C58" s="180"/>
      <c r="D58" s="178"/>
      <c r="E58" s="182"/>
      <c r="F58" s="181"/>
      <c r="G58" s="178"/>
      <c r="H58" s="179"/>
      <c r="I58" s="181"/>
      <c r="J58" s="178"/>
      <c r="K58" s="179"/>
      <c r="L58" s="181"/>
      <c r="M58" s="178"/>
      <c r="N58" s="227">
        <v>3100</v>
      </c>
      <c r="O58" s="252">
        <v>3250</v>
      </c>
      <c r="P58" s="181">
        <v>3250</v>
      </c>
      <c r="Q58" s="178"/>
      <c r="R58" s="183">
        <v>3250</v>
      </c>
      <c r="S58" s="181"/>
      <c r="T58" s="178"/>
      <c r="U58" s="183">
        <v>3250</v>
      </c>
      <c r="V58" s="181"/>
      <c r="W58" s="178"/>
      <c r="X58" s="183">
        <v>3250</v>
      </c>
      <c r="Y58" s="181"/>
      <c r="Z58" s="178"/>
      <c r="AA58" s="183"/>
    </row>
    <row r="59" spans="1:27" ht="6.75" customHeight="1" thickBot="1">
      <c r="A59" s="50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41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s="56" customFormat="1" ht="15.75" customHeight="1" thickBot="1">
      <c r="A60" s="61" t="s">
        <v>55</v>
      </c>
      <c r="B60" s="62"/>
      <c r="C60" s="63">
        <f aca="true" t="shared" si="2" ref="C60:H60">SUM(C58:C59)</f>
        <v>0</v>
      </c>
      <c r="D60" s="64">
        <f t="shared" si="2"/>
        <v>0</v>
      </c>
      <c r="E60" s="76">
        <f t="shared" si="2"/>
        <v>0</v>
      </c>
      <c r="F60" s="65">
        <f t="shared" si="2"/>
        <v>0</v>
      </c>
      <c r="G60" s="64">
        <f t="shared" si="2"/>
        <v>0</v>
      </c>
      <c r="H60" s="77">
        <f t="shared" si="2"/>
        <v>0</v>
      </c>
      <c r="I60" s="65"/>
      <c r="J60" s="64"/>
      <c r="K60" s="77">
        <f aca="true" t="shared" si="3" ref="K60:U60">SUM(K52:K58)</f>
        <v>868.252</v>
      </c>
      <c r="L60" s="65">
        <f t="shared" si="3"/>
        <v>8566.274</v>
      </c>
      <c r="M60" s="64">
        <f t="shared" si="3"/>
        <v>7553.314</v>
      </c>
      <c r="N60" s="77">
        <f>SUM(N52:N58)</f>
        <v>21905.96</v>
      </c>
      <c r="O60" s="243">
        <f>SUM(O52:O58)</f>
        <v>25116</v>
      </c>
      <c r="P60" s="65">
        <f t="shared" si="3"/>
        <v>54996.274000000005</v>
      </c>
      <c r="Q60" s="64">
        <f t="shared" si="3"/>
        <v>3791.314</v>
      </c>
      <c r="R60" s="77">
        <f t="shared" si="3"/>
        <v>53279.4445</v>
      </c>
      <c r="S60" s="65">
        <f t="shared" si="3"/>
        <v>0</v>
      </c>
      <c r="T60" s="64">
        <f t="shared" si="3"/>
        <v>0</v>
      </c>
      <c r="U60" s="77">
        <f t="shared" si="3"/>
        <v>25250</v>
      </c>
      <c r="V60" s="65">
        <f aca="true" t="shared" si="4" ref="V60:AA60">SUM(V52:V58)</f>
        <v>0</v>
      </c>
      <c r="W60" s="64">
        <f t="shared" si="4"/>
        <v>0</v>
      </c>
      <c r="X60" s="77">
        <f t="shared" si="4"/>
        <v>25250</v>
      </c>
      <c r="Y60" s="65">
        <f t="shared" si="4"/>
        <v>0</v>
      </c>
      <c r="Z60" s="64">
        <f t="shared" si="4"/>
        <v>0</v>
      </c>
      <c r="AA60" s="77">
        <f t="shared" si="4"/>
        <v>0</v>
      </c>
    </row>
    <row r="61" spans="1:27" s="70" customFormat="1" ht="15.75" thickBot="1">
      <c r="A61" s="66"/>
      <c r="B61" s="67"/>
      <c r="C61" s="68"/>
      <c r="D61" s="69"/>
      <c r="E61" s="69"/>
      <c r="F61" s="68"/>
      <c r="G61" s="69"/>
      <c r="H61" s="69"/>
      <c r="I61" s="68"/>
      <c r="J61" s="69"/>
      <c r="K61" s="69"/>
      <c r="L61" s="68"/>
      <c r="M61" s="69"/>
      <c r="N61" s="69"/>
      <c r="O61" s="69"/>
      <c r="P61" s="68"/>
      <c r="Q61" s="69"/>
      <c r="R61" s="69"/>
      <c r="S61" s="68"/>
      <c r="T61" s="69"/>
      <c r="U61" s="69"/>
      <c r="V61" s="68"/>
      <c r="W61" s="69"/>
      <c r="X61" s="69"/>
      <c r="Y61" s="68"/>
      <c r="Z61" s="69"/>
      <c r="AA61" s="69"/>
    </row>
    <row r="62" spans="1:27" s="83" customFormat="1" ht="18" customHeight="1" thickBot="1">
      <c r="A62" s="79" t="s">
        <v>56</v>
      </c>
      <c r="B62" s="80"/>
      <c r="C62" s="80">
        <f aca="true" t="shared" si="5" ref="C62:AA62">C49+C60</f>
        <v>613</v>
      </c>
      <c r="D62" s="81">
        <f t="shared" si="5"/>
        <v>613</v>
      </c>
      <c r="E62" s="82">
        <f t="shared" si="5"/>
        <v>0</v>
      </c>
      <c r="F62" s="80">
        <f t="shared" si="5"/>
        <v>15161.207999999999</v>
      </c>
      <c r="G62" s="81">
        <f t="shared" si="5"/>
        <v>15313.207999999999</v>
      </c>
      <c r="H62" s="76">
        <f t="shared" si="5"/>
        <v>0</v>
      </c>
      <c r="I62" s="80">
        <f t="shared" si="5"/>
        <v>86954</v>
      </c>
      <c r="J62" s="81">
        <f t="shared" si="5"/>
        <v>72860.45672999999</v>
      </c>
      <c r="K62" s="76">
        <f t="shared" si="5"/>
        <v>1918.32025</v>
      </c>
      <c r="L62" s="80">
        <f t="shared" si="5"/>
        <v>288964.414</v>
      </c>
      <c r="M62" s="81">
        <f t="shared" si="5"/>
        <v>118625.1465</v>
      </c>
      <c r="N62" s="76">
        <f>N49+N60</f>
        <v>52707.65157</v>
      </c>
      <c r="O62" s="244">
        <f>O49+O60</f>
        <v>263816</v>
      </c>
      <c r="P62" s="80">
        <f t="shared" si="5"/>
        <v>325735.88600000006</v>
      </c>
      <c r="Q62" s="81">
        <f t="shared" si="5"/>
        <v>61640.814</v>
      </c>
      <c r="R62" s="76">
        <f t="shared" si="5"/>
        <v>235897.20565999998</v>
      </c>
      <c r="S62" s="80">
        <f t="shared" si="5"/>
        <v>176699.88</v>
      </c>
      <c r="T62" s="81">
        <f t="shared" si="5"/>
        <v>137749.88</v>
      </c>
      <c r="U62" s="76">
        <f t="shared" si="5"/>
        <v>97182.282</v>
      </c>
      <c r="V62" s="80">
        <f t="shared" si="5"/>
        <v>146000</v>
      </c>
      <c r="W62" s="81">
        <f t="shared" si="5"/>
        <v>33700</v>
      </c>
      <c r="X62" s="76">
        <f t="shared" si="5"/>
        <v>57550</v>
      </c>
      <c r="Y62" s="80">
        <f t="shared" si="5"/>
        <v>182000</v>
      </c>
      <c r="Z62" s="81">
        <f t="shared" si="5"/>
        <v>-29200</v>
      </c>
      <c r="AA62" s="76">
        <f t="shared" si="5"/>
        <v>61200</v>
      </c>
    </row>
    <row r="63" spans="1:27" s="22" customFormat="1" ht="9" customHeight="1">
      <c r="A63" s="71"/>
      <c r="B63" s="78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s="73" customFormat="1" ht="12.75" customHeight="1">
      <c r="A64" s="66"/>
      <c r="B64" s="7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7:19" ht="12.75">
      <c r="G65" s="152"/>
      <c r="H65" s="52"/>
      <c r="K65" s="165"/>
      <c r="L65" s="52">
        <f>P7+P9+P21+P28+P52+P37</f>
        <v>107643.602</v>
      </c>
      <c r="M65" s="253" t="s">
        <v>85</v>
      </c>
      <c r="R65" s="52">
        <f>S39+V39+Y39+S40</f>
        <v>116500</v>
      </c>
      <c r="S65" s="33" t="s">
        <v>101</v>
      </c>
    </row>
    <row r="66" spans="2:18" ht="12.75">
      <c r="B66" s="52"/>
      <c r="I66" s="52"/>
      <c r="J66" s="52"/>
      <c r="K66" s="52"/>
      <c r="R66" s="52"/>
    </row>
    <row r="67" spans="2:22" ht="12.75">
      <c r="B67" s="52"/>
      <c r="I67" s="52"/>
      <c r="J67" s="52"/>
      <c r="K67" s="52"/>
      <c r="R67" s="52">
        <f>R15+R25+R26+R27+R29+R30+R31+R32+R16</f>
        <v>98257.26116</v>
      </c>
      <c r="S67" s="33" t="s">
        <v>115</v>
      </c>
      <c r="U67" s="52">
        <f>U39+U32+U24+U19+U11+U17+U40</f>
        <v>57932.282</v>
      </c>
      <c r="V67" s="33" t="s">
        <v>114</v>
      </c>
    </row>
    <row r="68" spans="2:11" ht="12.75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9:27" ht="15">
      <c r="I69" s="52"/>
      <c r="V69" s="34"/>
      <c r="W69" s="34"/>
      <c r="X69" s="34"/>
      <c r="Y69" s="34"/>
      <c r="Z69" s="34"/>
      <c r="AA69" s="34"/>
    </row>
    <row r="70" spans="22:27" ht="15">
      <c r="V70" s="34"/>
      <c r="W70" s="34"/>
      <c r="X70" s="34"/>
      <c r="Y70" s="34"/>
      <c r="Z70" s="34"/>
      <c r="AA70" s="34"/>
    </row>
    <row r="71" spans="22:27" ht="15">
      <c r="V71" s="34"/>
      <c r="W71" s="34"/>
      <c r="X71" s="34"/>
      <c r="Y71" s="34"/>
      <c r="Z71" s="34"/>
      <c r="AA71" s="34"/>
    </row>
    <row r="72" spans="22:27" ht="15">
      <c r="V72" s="34"/>
      <c r="W72" s="34"/>
      <c r="X72" s="34"/>
      <c r="Y72" s="34"/>
      <c r="Z72" s="34"/>
      <c r="AA72" s="34"/>
    </row>
    <row r="73" spans="22:27" ht="15">
      <c r="V73" s="34"/>
      <c r="W73" s="34"/>
      <c r="X73" s="34"/>
      <c r="Y73" s="34"/>
      <c r="Z73" s="34"/>
      <c r="AA73" s="34"/>
    </row>
    <row r="74" spans="22:27" ht="15">
      <c r="V74" s="34"/>
      <c r="W74" s="34"/>
      <c r="X74" s="34"/>
      <c r="Y74" s="34"/>
      <c r="Z74" s="34"/>
      <c r="AA74" s="34"/>
    </row>
    <row r="75" spans="22:27" ht="15">
      <c r="V75" s="34"/>
      <c r="W75" s="34"/>
      <c r="X75" s="34"/>
      <c r="Y75" s="34"/>
      <c r="Z75" s="34"/>
      <c r="AA75" s="34"/>
    </row>
    <row r="76" spans="22:27" ht="15">
      <c r="V76" s="34"/>
      <c r="W76" s="34"/>
      <c r="X76" s="34"/>
      <c r="Y76" s="34"/>
      <c r="Z76" s="34"/>
      <c r="AA76" s="34"/>
    </row>
    <row r="77" spans="22:27" ht="15">
      <c r="V77" s="34"/>
      <c r="W77" s="34"/>
      <c r="X77" s="34"/>
      <c r="Y77" s="34"/>
      <c r="Z77" s="34"/>
      <c r="AA77" s="34"/>
    </row>
  </sheetData>
  <sheetProtection/>
  <mergeCells count="18">
    <mergeCell ref="Y2:AA2"/>
    <mergeCell ref="Z3:AA3"/>
    <mergeCell ref="J3:K3"/>
    <mergeCell ref="M3:N3"/>
    <mergeCell ref="S2:U2"/>
    <mergeCell ref="V2:X2"/>
    <mergeCell ref="W3:X3"/>
    <mergeCell ref="I2:K2"/>
    <mergeCell ref="L2:N2"/>
    <mergeCell ref="Q3:R3"/>
    <mergeCell ref="T3:U3"/>
    <mergeCell ref="G3:H3"/>
    <mergeCell ref="A1:H1"/>
    <mergeCell ref="A2:A4"/>
    <mergeCell ref="C2:E2"/>
    <mergeCell ref="F2:H2"/>
    <mergeCell ref="D3:E3"/>
    <mergeCell ref="O2:R2"/>
  </mergeCells>
  <printOptions horizontalCentered="1" verticalCentered="1"/>
  <pageMargins left="0.31496062992125984" right="0.2755905511811024" top="0.3937007874015748" bottom="0.35433070866141736" header="0.2362204724409449" footer="0.1968503937007874"/>
  <pageSetup firstPageNumber="125" useFirstPageNumber="1" fitToHeight="1" fitToWidth="1" horizontalDpi="600" verticalDpi="600" orientation="landscape" paperSize="8" scale="79" r:id="rId3"/>
  <headerFooter alignWithMargins="0">
    <oddHeader>&amp;C&amp;"+,Tučné"IV. Rozpočtový výhled</oddHeader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Magistrát města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smutná</dc:creator>
  <cp:keywords/>
  <dc:description/>
  <cp:lastModifiedBy>Trappová Simona</cp:lastModifiedBy>
  <cp:lastPrinted>2019-01-24T12:56:26Z</cp:lastPrinted>
  <dcterms:created xsi:type="dcterms:W3CDTF">2014-06-06T07:39:26Z</dcterms:created>
  <dcterms:modified xsi:type="dcterms:W3CDTF">2019-01-24T12:56:31Z</dcterms:modified>
  <cp:category/>
  <cp:version/>
  <cp:contentType/>
  <cp:contentStatus/>
</cp:coreProperties>
</file>