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comments4.xml" ContentType="application/vnd.openxmlformats-officedocument.spreadsheetml.comment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omments3.xml" ContentType="application/vnd.openxmlformats-officedocument.spreadsheetml.comments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charts/chart3.xml" ContentType="application/vnd.openxmlformats-officedocument.drawingml.chart+xml"/>
  <Override PartName="/xl/pivotTables/pivotTable1.xml" ContentType="application/vnd.openxmlformats-officedocument.spreadsheetml.pivotTable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16.xml" ContentType="application/vnd.openxmlformats-officedocument.drawing+xml"/>
  <Override PartName="/xl/comments5.xml" ContentType="application/vnd.openxmlformats-officedocument.spreadsheetml.comment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userName="smutná" reservationPassword="CC26"/>
  <workbookPr defaultThemeVersion="124226"/>
  <bookViews>
    <workbookView xWindow="-15" yWindow="-15" windowWidth="10920" windowHeight="10080" tabRatio="937" activeTab="2"/>
  </bookViews>
  <sheets>
    <sheet name="výhled 2014 V8" sheetId="35" r:id="rId1"/>
    <sheet name="Inv.a neinv.akce 2014" sheetId="31" r:id="rId2"/>
    <sheet name="str. 1_celk.rekap" sheetId="30" r:id="rId3"/>
    <sheet name="Příjmy 2014 " sheetId="33" r:id="rId4"/>
    <sheet name="graf-příjmy" sheetId="34" r:id="rId5"/>
    <sheet name="Rekapit.závaz.ukazatelů" sheetId="38" r:id="rId6"/>
    <sheet name="Nové závazné ukazatele 2014" sheetId="3" r:id="rId7"/>
    <sheet name="Rekapit.odbory" sheetId="29" r:id="rId8"/>
    <sheet name="OKT" sheetId="4" r:id="rId9"/>
    <sheet name="OŽP" sheetId="6" r:id="rId10"/>
    <sheet name="OD" sheetId="19" r:id="rId11"/>
    <sheet name="OPP" sheetId="7" r:id="rId12"/>
    <sheet name="PRÁV" sheetId="20" r:id="rId13"/>
    <sheet name="ObŽÚ" sheetId="21" r:id="rId14"/>
    <sheet name="OVV" sheetId="22" r:id="rId15"/>
    <sheet name="MP" sheetId="17" r:id="rId16"/>
    <sheet name="OIT" sheetId="23" r:id="rId17"/>
    <sheet name="OKŠT" sheetId="24" r:id="rId18"/>
    <sheet name="OSV " sheetId="15" r:id="rId19"/>
    <sheet name="OSD" sheetId="8" r:id="rId20"/>
    <sheet name="ORI " sheetId="9" r:id="rId21"/>
    <sheet name="ÚÚPaSÚ" sheetId="18" r:id="rId22"/>
    <sheet name="OMM" sheetId="16" r:id="rId23"/>
    <sheet name="OFE " sheetId="12" r:id="rId24"/>
    <sheet name="OKP" sheetId="25" r:id="rId25"/>
    <sheet name="OT" sheetId="13" r:id="rId26"/>
  </sheets>
  <definedNames>
    <definedName name="_xlnm._FilterDatabase" localSheetId="6" hidden="1">'Nové závazné ukazatele 2014'!$D$1:$D$311</definedName>
    <definedName name="_xlnm._FilterDatabase" localSheetId="17" hidden="1">OKŠT!$D$2:$D$317</definedName>
    <definedName name="_xlnm.Print_Titles" localSheetId="6">'Nové závazné ukazatele 2014'!$1:$1</definedName>
    <definedName name="_xlnm.Print_Titles" localSheetId="16">OIT!$35:$37</definedName>
    <definedName name="_xlnm.Print_Titles" localSheetId="24">OKP!$1:$6</definedName>
    <definedName name="_xlnm.Print_Titles" localSheetId="17">OKŠT!$1:$6</definedName>
    <definedName name="_xlnm.Print_Titles" localSheetId="8">OKT!$4:$6</definedName>
    <definedName name="_xlnm.Print_Titles" localSheetId="22">OMM!$4:$6</definedName>
    <definedName name="_xlnm.Print_Titles" localSheetId="20">'ORI '!$29:$34</definedName>
    <definedName name="_xlnm.Print_Titles" localSheetId="18">'OSV '!$1:$6</definedName>
    <definedName name="_xlnm.Print_Titles" localSheetId="3">'Příjmy 2014 '!$1:$3</definedName>
    <definedName name="_xlnm.Print_Area" localSheetId="4">'graf-příjmy'!$A$1:$G$62</definedName>
    <definedName name="_xlnm.Print_Area" localSheetId="1">'Inv.a neinv.akce 2014'!$A$1:$X$54</definedName>
    <definedName name="_xlnm.Print_Area" localSheetId="15">MP!$B$1:$I$91</definedName>
    <definedName name="_xlnm.Print_Area" localSheetId="6">'Nové závazné ukazatele 2014'!$C$1:$I$307</definedName>
    <definedName name="_xlnm.Print_Area" localSheetId="13">ObŽÚ!$B$1:$I$18</definedName>
    <definedName name="_xlnm.Print_Area" localSheetId="10">OD!$B$1:$I$28</definedName>
    <definedName name="_xlnm.Print_Area" localSheetId="23">'OFE '!$B$1:$I$52</definedName>
    <definedName name="_xlnm.Print_Area" localSheetId="16">OIT!$B$1:$I$56</definedName>
    <definedName name="_xlnm.Print_Area" localSheetId="24">OKP!$B$1:$I$59</definedName>
    <definedName name="_xlnm.Print_Area" localSheetId="17">OKŠT!$B$1:$I$176</definedName>
    <definedName name="_xlnm.Print_Area" localSheetId="8">OKT!$B$1:$L$109</definedName>
    <definedName name="_xlnm.Print_Area" localSheetId="22">OMM!$B$1:$I$205</definedName>
    <definedName name="_xlnm.Print_Area" localSheetId="11">OPP!$B$1:$I$12</definedName>
    <definedName name="_xlnm.Print_Area" localSheetId="20">'ORI '!$B$1:$I$125</definedName>
    <definedName name="_xlnm.Print_Area" localSheetId="19">OSD!$A$1:$H$46</definedName>
    <definedName name="_xlnm.Print_Area" localSheetId="18">'OSV '!$B$1:$I$75</definedName>
    <definedName name="_xlnm.Print_Area" localSheetId="25">OT!$B$1:$I$106</definedName>
    <definedName name="_xlnm.Print_Area" localSheetId="14">OVV!$B$1:$I$87</definedName>
    <definedName name="_xlnm.Print_Area" localSheetId="9">OŽP!$B$1:$I$37</definedName>
    <definedName name="_xlnm.Print_Area" localSheetId="12">PRÁV!$B$1:$I$22</definedName>
    <definedName name="_xlnm.Print_Area" localSheetId="3">'Příjmy 2014 '!$A$1:$F$103</definedName>
    <definedName name="_xlnm.Print_Area" localSheetId="7">Rekapit.odbory!$A$1:$H$79</definedName>
    <definedName name="_xlnm.Print_Area" localSheetId="21">ÚÚPaSÚ!$B$1:$I$34</definedName>
    <definedName name="_xlnm.Print_Area" localSheetId="0">'výhled 2014 V8'!$A$1:$P$37</definedName>
  </definedNames>
  <calcPr calcId="125725"/>
  <pivotCaches>
    <pivotCache cacheId="4" r:id="rId27"/>
  </pivotCaches>
</workbook>
</file>

<file path=xl/calcChain.xml><?xml version="1.0" encoding="utf-8"?>
<calcChain xmlns="http://schemas.openxmlformats.org/spreadsheetml/2006/main">
  <c r="M33" i="35"/>
  <c r="M34" s="1"/>
  <c r="G29" i="29"/>
  <c r="M24" i="35"/>
  <c r="M21"/>
  <c r="N34"/>
  <c r="N35" s="1"/>
  <c r="N33"/>
  <c r="N29"/>
  <c r="N21"/>
  <c r="N24"/>
  <c r="M29"/>
  <c r="L29"/>
  <c r="M35" l="1"/>
  <c r="M36" s="1"/>
  <c r="N4" l="1"/>
  <c r="N36" s="1"/>
  <c r="O4" s="1"/>
  <c r="M4" l="1"/>
  <c r="E48" i="30"/>
  <c r="E47"/>
  <c r="E46"/>
  <c r="E41"/>
  <c r="E38"/>
  <c r="E39"/>
  <c r="E37"/>
  <c r="C40" i="38"/>
  <c r="J236" i="3"/>
  <c r="I236"/>
  <c r="J125"/>
  <c r="I125"/>
  <c r="H123" i="9"/>
  <c r="J163" i="3"/>
  <c r="I163"/>
  <c r="J162"/>
  <c r="I162"/>
  <c r="J150"/>
  <c r="I150"/>
  <c r="J149"/>
  <c r="I149"/>
  <c r="J272"/>
  <c r="I272"/>
  <c r="J268"/>
  <c r="I268"/>
  <c r="J294"/>
  <c r="I294"/>
  <c r="G66" i="13"/>
  <c r="I66"/>
  <c r="H66"/>
  <c r="C39" i="38"/>
  <c r="H72" i="29" l="1"/>
  <c r="H68"/>
  <c r="I132" i="24"/>
  <c r="H79" i="29" l="1"/>
  <c r="G123" i="9" l="1"/>
  <c r="I123"/>
  <c r="F123"/>
  <c r="I56"/>
  <c r="H56"/>
  <c r="G69"/>
  <c r="H69"/>
  <c r="I69"/>
  <c r="F69"/>
  <c r="G66"/>
  <c r="H66"/>
  <c r="I66"/>
  <c r="F66"/>
  <c r="H104" i="13"/>
  <c r="I104"/>
  <c r="G104"/>
  <c r="F104"/>
  <c r="I59"/>
  <c r="H59"/>
  <c r="H73"/>
  <c r="G70"/>
  <c r="H70"/>
  <c r="I70"/>
  <c r="F70"/>
  <c r="F66"/>
  <c r="H203" i="16" l="1"/>
  <c r="I203"/>
  <c r="G203"/>
  <c r="F203"/>
  <c r="I144"/>
  <c r="H144"/>
  <c r="G169"/>
  <c r="H169"/>
  <c r="I169"/>
  <c r="F169"/>
  <c r="I159"/>
  <c r="H159"/>
  <c r="G181" l="1"/>
  <c r="H181"/>
  <c r="I181"/>
  <c r="F181"/>
  <c r="G175"/>
  <c r="H175"/>
  <c r="I175"/>
  <c r="F175"/>
  <c r="I166"/>
  <c r="G166"/>
  <c r="F166"/>
  <c r="J161" i="3"/>
  <c r="I161"/>
  <c r="I28" i="16"/>
  <c r="I51" i="24" l="1"/>
  <c r="I32"/>
  <c r="I8" i="20"/>
  <c r="F70" i="33"/>
  <c r="F69"/>
  <c r="J166" i="3" l="1"/>
  <c r="I166"/>
  <c r="J267"/>
  <c r="I267"/>
  <c r="J124"/>
  <c r="I124"/>
  <c r="J160"/>
  <c r="I160"/>
  <c r="J34"/>
  <c r="I34"/>
  <c r="J30"/>
  <c r="I30"/>
  <c r="J31"/>
  <c r="J2"/>
  <c r="J3"/>
  <c r="J4"/>
  <c r="J5"/>
  <c r="J6"/>
  <c r="J7"/>
  <c r="J8"/>
  <c r="J9"/>
  <c r="J10"/>
  <c r="J11"/>
  <c r="J12"/>
  <c r="J13"/>
  <c r="J14"/>
  <c r="J15"/>
  <c r="J16"/>
  <c r="J17"/>
  <c r="J18"/>
  <c r="J20"/>
  <c r="J21"/>
  <c r="J22"/>
  <c r="J23"/>
  <c r="J24"/>
  <c r="J25"/>
  <c r="J26"/>
  <c r="J27"/>
  <c r="J28"/>
  <c r="J29"/>
  <c r="J32"/>
  <c r="J33"/>
  <c r="J35"/>
  <c r="J36"/>
  <c r="J37"/>
  <c r="J38"/>
  <c r="J39"/>
  <c r="J40"/>
  <c r="J41"/>
  <c r="J43"/>
  <c r="J44"/>
  <c r="J45"/>
  <c r="J46"/>
  <c r="J47"/>
  <c r="J48"/>
  <c r="J49"/>
  <c r="J50"/>
  <c r="J51"/>
  <c r="J52"/>
  <c r="J53"/>
  <c r="J54"/>
  <c r="J55"/>
  <c r="J57"/>
  <c r="J58"/>
  <c r="J59"/>
  <c r="J60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11"/>
  <c r="J112"/>
  <c r="J113"/>
  <c r="J114"/>
  <c r="J115"/>
  <c r="J116"/>
  <c r="J117"/>
  <c r="J119"/>
  <c r="J122"/>
  <c r="J123"/>
  <c r="J126"/>
  <c r="J127"/>
  <c r="J128"/>
  <c r="J129"/>
  <c r="J130"/>
  <c r="J131"/>
  <c r="J132"/>
  <c r="J133"/>
  <c r="J134"/>
  <c r="J135"/>
  <c r="J136"/>
  <c r="J138"/>
  <c r="J139"/>
  <c r="J140"/>
  <c r="J141"/>
  <c r="J142"/>
  <c r="J143"/>
  <c r="J144"/>
  <c r="J145"/>
  <c r="J146"/>
  <c r="J147"/>
  <c r="J148"/>
  <c r="J151"/>
  <c r="J152"/>
  <c r="J153"/>
  <c r="J154"/>
  <c r="J155"/>
  <c r="J156"/>
  <c r="J157"/>
  <c r="J158"/>
  <c r="J159"/>
  <c r="J164"/>
  <c r="J165"/>
  <c r="J167"/>
  <c r="J168"/>
  <c r="J169"/>
  <c r="J170"/>
  <c r="J171"/>
  <c r="J172"/>
  <c r="J173"/>
  <c r="J175"/>
  <c r="J176"/>
  <c r="J177"/>
  <c r="J178"/>
  <c r="J179"/>
  <c r="J180"/>
  <c r="J182"/>
  <c r="J184"/>
  <c r="J185"/>
  <c r="J186"/>
  <c r="J187"/>
  <c r="J188"/>
  <c r="J189"/>
  <c r="J190"/>
  <c r="J191"/>
  <c r="J196"/>
  <c r="J208"/>
  <c r="J209"/>
  <c r="J210"/>
  <c r="J211"/>
  <c r="J212"/>
  <c r="J213"/>
  <c r="J214"/>
  <c r="J218"/>
  <c r="J219"/>
  <c r="J220"/>
  <c r="J221"/>
  <c r="J222"/>
  <c r="J223"/>
  <c r="J225"/>
  <c r="J226"/>
  <c r="J230"/>
  <c r="J231"/>
  <c r="J232"/>
  <c r="J233"/>
  <c r="J234"/>
  <c r="J235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9"/>
  <c r="J270"/>
  <c r="J271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5"/>
  <c r="J296"/>
  <c r="J297"/>
  <c r="J298"/>
  <c r="J299"/>
  <c r="J300"/>
  <c r="J301"/>
  <c r="J302"/>
  <c r="J303"/>
  <c r="J304"/>
  <c r="J305"/>
  <c r="F7" i="33"/>
  <c r="F11"/>
  <c r="F20"/>
  <c r="F26"/>
  <c r="F29"/>
  <c r="F42"/>
  <c r="F47"/>
  <c r="F54"/>
  <c r="F56"/>
  <c r="F59" s="1"/>
  <c r="F60" s="1"/>
  <c r="F62"/>
  <c r="F64"/>
  <c r="F66" s="1"/>
  <c r="F71"/>
  <c r="F78"/>
  <c r="F82"/>
  <c r="F88"/>
  <c r="F89"/>
  <c r="I31" i="13"/>
  <c r="I73"/>
  <c r="I15"/>
  <c r="I17"/>
  <c r="I22"/>
  <c r="I33"/>
  <c r="I39"/>
  <c r="I47"/>
  <c r="I57" i="25"/>
  <c r="I17"/>
  <c r="I42"/>
  <c r="I46"/>
  <c r="I59" s="1"/>
  <c r="I50" i="12"/>
  <c r="I7"/>
  <c r="I14" s="1"/>
  <c r="I18"/>
  <c r="I31"/>
  <c r="I45" i="16"/>
  <c r="I35"/>
  <c r="I102"/>
  <c r="I75"/>
  <c r="I29"/>
  <c r="I148"/>
  <c r="J215" i="3" s="1"/>
  <c r="I152" i="16"/>
  <c r="J216" i="3" s="1"/>
  <c r="I154" i="16"/>
  <c r="J217" i="3" s="1"/>
  <c r="I177" i="16"/>
  <c r="J224" i="3" s="1"/>
  <c r="J227"/>
  <c r="I183" i="16"/>
  <c r="I189"/>
  <c r="J228" i="3" s="1"/>
  <c r="I199" i="16"/>
  <c r="J237" i="3" s="1"/>
  <c r="I11" i="16"/>
  <c r="J192" i="3" s="1"/>
  <c r="I19" i="16"/>
  <c r="J193" i="3" s="1"/>
  <c r="I33" i="16"/>
  <c r="J194" i="3" s="1"/>
  <c r="I40" i="16"/>
  <c r="J195" i="3" s="1"/>
  <c r="I47" i="16"/>
  <c r="J197" i="3" s="1"/>
  <c r="I65" i="16"/>
  <c r="J198" i="3" s="1"/>
  <c r="I69" i="16"/>
  <c r="J199" i="3" s="1"/>
  <c r="I74" i="16"/>
  <c r="J200" i="3" s="1"/>
  <c r="I79" i="16"/>
  <c r="J201" i="3" s="1"/>
  <c r="I85" i="16"/>
  <c r="J202" i="3" s="1"/>
  <c r="I91" i="16"/>
  <c r="J203" i="3" s="1"/>
  <c r="I103" i="16"/>
  <c r="J204" i="3" s="1"/>
  <c r="I111" i="16"/>
  <c r="J205" i="3" s="1"/>
  <c r="I114" i="16"/>
  <c r="J206" i="3" s="1"/>
  <c r="I128" i="16"/>
  <c r="J207" i="3" s="1"/>
  <c r="I134" i="16"/>
  <c r="I32" i="18"/>
  <c r="I34" s="1"/>
  <c r="I11"/>
  <c r="I14"/>
  <c r="I18"/>
  <c r="I20"/>
  <c r="I41" i="9"/>
  <c r="I38"/>
  <c r="I53"/>
  <c r="J118" i="3" s="1"/>
  <c r="I11" i="9"/>
  <c r="I205" i="16" l="1"/>
  <c r="J229" i="3"/>
  <c r="F91" i="33"/>
  <c r="I106" i="13"/>
  <c r="I37" i="12"/>
  <c r="I52" s="1"/>
  <c r="I40" i="9" l="1"/>
  <c r="I43"/>
  <c r="J121" i="3" s="1"/>
  <c r="I81" i="9"/>
  <c r="I88"/>
  <c r="J181" i="3" s="1"/>
  <c r="I92" i="9"/>
  <c r="J183" i="3" s="1"/>
  <c r="I13" i="9"/>
  <c r="J109" i="3" s="1"/>
  <c r="I21" i="9"/>
  <c r="I24"/>
  <c r="I25"/>
  <c r="J110" i="3" s="1"/>
  <c r="I27" i="9"/>
  <c r="J174" i="3" l="1"/>
  <c r="J120"/>
  <c r="I125" i="9"/>
  <c r="H21" i="8" l="1"/>
  <c r="H22"/>
  <c r="H24"/>
  <c r="H30"/>
  <c r="H41"/>
  <c r="H43" s="1"/>
  <c r="I20" i="15"/>
  <c r="I28"/>
  <c r="I38"/>
  <c r="I41"/>
  <c r="I46"/>
  <c r="I55"/>
  <c r="I59"/>
  <c r="I63"/>
  <c r="I75" s="1"/>
  <c r="I174" i="24"/>
  <c r="I15"/>
  <c r="I19"/>
  <c r="I22"/>
  <c r="I33"/>
  <c r="J42" i="3" s="1"/>
  <c r="I42" i="24"/>
  <c r="I67"/>
  <c r="J56" i="3" s="1"/>
  <c r="I77" i="24"/>
  <c r="I78"/>
  <c r="I92"/>
  <c r="I93"/>
  <c r="I108" s="1"/>
  <c r="I112"/>
  <c r="I133"/>
  <c r="J61" i="3" s="1"/>
  <c r="I134" i="24"/>
  <c r="I138"/>
  <c r="I43" i="23"/>
  <c r="I49"/>
  <c r="I52"/>
  <c r="I54" s="1"/>
  <c r="F68" i="29" s="1"/>
  <c r="I30" i="23"/>
  <c r="F44" i="29" s="1"/>
  <c r="I89" i="17"/>
  <c r="I11"/>
  <c r="I12"/>
  <c r="I36"/>
  <c r="I37"/>
  <c r="I45"/>
  <c r="I60"/>
  <c r="I14" i="21"/>
  <c r="I16" s="1"/>
  <c r="I18" s="1"/>
  <c r="I20" i="20"/>
  <c r="I10" i="7"/>
  <c r="I12" s="1"/>
  <c r="I13" i="19"/>
  <c r="I17" s="1"/>
  <c r="I28" s="1"/>
  <c r="I31" i="6"/>
  <c r="I14"/>
  <c r="I17"/>
  <c r="I19" s="1"/>
  <c r="L107" i="4"/>
  <c r="L109"/>
  <c r="L63"/>
  <c r="L71"/>
  <c r="L77"/>
  <c r="L79" s="1"/>
  <c r="F36" i="29" s="1"/>
  <c r="L26" i="4"/>
  <c r="L14"/>
  <c r="F60" i="29"/>
  <c r="F61"/>
  <c r="F66"/>
  <c r="F67"/>
  <c r="F69"/>
  <c r="F72"/>
  <c r="F73"/>
  <c r="F74"/>
  <c r="F75"/>
  <c r="F76"/>
  <c r="F77"/>
  <c r="F16"/>
  <c r="F39"/>
  <c r="F13" s="1"/>
  <c r="F40"/>
  <c r="F14" s="1"/>
  <c r="F42"/>
  <c r="F46"/>
  <c r="F20" s="1"/>
  <c r="F48"/>
  <c r="F49"/>
  <c r="F50"/>
  <c r="F51"/>
  <c r="F25" s="1"/>
  <c r="F52"/>
  <c r="F53"/>
  <c r="I85" i="22"/>
  <c r="I57"/>
  <c r="I59" s="1"/>
  <c r="I29"/>
  <c r="I43" s="1"/>
  <c r="I12"/>
  <c r="S36" i="31"/>
  <c r="S37"/>
  <c r="P24" i="35"/>
  <c r="T36" i="31"/>
  <c r="T37"/>
  <c r="X38"/>
  <c r="U58"/>
  <c r="P40" i="35" s="1"/>
  <c r="Q37" i="31"/>
  <c r="Q36"/>
  <c r="X37"/>
  <c r="X36"/>
  <c r="P38"/>
  <c r="M38"/>
  <c r="B38"/>
  <c r="R38"/>
  <c r="S38"/>
  <c r="U38"/>
  <c r="U34"/>
  <c r="B37"/>
  <c r="B36"/>
  <c r="I176" i="3"/>
  <c r="I175"/>
  <c r="Q33" i="31"/>
  <c r="H77" i="29"/>
  <c r="H43" i="23"/>
  <c r="G68" i="29" s="1"/>
  <c r="E64" i="33"/>
  <c r="K24" i="35"/>
  <c r="H81" i="9"/>
  <c r="H31" i="13"/>
  <c r="C75" i="34"/>
  <c r="C74"/>
  <c r="C71"/>
  <c r="C70"/>
  <c r="G174" i="24"/>
  <c r="I22" i="20" l="1"/>
  <c r="J19" i="3"/>
  <c r="J307" s="1"/>
  <c r="F24" i="29"/>
  <c r="F27"/>
  <c r="F26"/>
  <c r="F23"/>
  <c r="F22"/>
  <c r="I33" i="6"/>
  <c r="F37" i="29"/>
  <c r="F11" s="1"/>
  <c r="I62" i="17"/>
  <c r="F43" i="29" s="1"/>
  <c r="F17" s="1"/>
  <c r="I139" i="24"/>
  <c r="I163" s="1"/>
  <c r="F45" i="29" s="1"/>
  <c r="F19" s="1"/>
  <c r="F47"/>
  <c r="F21" s="1"/>
  <c r="H45" i="8"/>
  <c r="F18" i="29"/>
  <c r="I56" i="23"/>
  <c r="F41" i="29"/>
  <c r="F15" s="1"/>
  <c r="F79"/>
  <c r="F10"/>
  <c r="I87" i="22"/>
  <c r="T38" i="31"/>
  <c r="Q38"/>
  <c r="B306" i="3"/>
  <c r="G305"/>
  <c r="H305"/>
  <c r="I305"/>
  <c r="I91" i="17" l="1"/>
  <c r="I176" i="24"/>
  <c r="P38" i="35"/>
  <c r="O38"/>
  <c r="L38"/>
  <c r="K38"/>
  <c r="J38"/>
  <c r="P33"/>
  <c r="O33"/>
  <c r="L33"/>
  <c r="J33"/>
  <c r="J34" s="1"/>
  <c r="I33"/>
  <c r="G33"/>
  <c r="F33"/>
  <c r="F34" s="1"/>
  <c r="E33"/>
  <c r="D33"/>
  <c r="D34" s="1"/>
  <c r="K32"/>
  <c r="K33" s="1"/>
  <c r="H32"/>
  <c r="H33" s="1"/>
  <c r="H34" s="1"/>
  <c r="J29"/>
  <c r="I29"/>
  <c r="I34" s="1"/>
  <c r="H29"/>
  <c r="G29"/>
  <c r="G34" s="1"/>
  <c r="F29"/>
  <c r="E29"/>
  <c r="E34" s="1"/>
  <c r="D29"/>
  <c r="G28"/>
  <c r="G27"/>
  <c r="K29"/>
  <c r="K21"/>
  <c r="J19"/>
  <c r="J35" s="1"/>
  <c r="J15"/>
  <c r="I15"/>
  <c r="I19" s="1"/>
  <c r="I35" s="1"/>
  <c r="G15"/>
  <c r="G19" s="1"/>
  <c r="G35" s="1"/>
  <c r="E15"/>
  <c r="E19" s="1"/>
  <c r="E35" s="1"/>
  <c r="P12"/>
  <c r="O12"/>
  <c r="J11"/>
  <c r="I11"/>
  <c r="H11"/>
  <c r="H10" s="1"/>
  <c r="H15" s="1"/>
  <c r="H19" s="1"/>
  <c r="H35" s="1"/>
  <c r="D11"/>
  <c r="P10"/>
  <c r="O10"/>
  <c r="K10"/>
  <c r="K15" s="1"/>
  <c r="F10"/>
  <c r="E10"/>
  <c r="D10"/>
  <c r="D15" s="1"/>
  <c r="D19" s="1"/>
  <c r="D35" s="1"/>
  <c r="D36" s="1"/>
  <c r="E4" s="1"/>
  <c r="E36" s="1"/>
  <c r="F4" s="1"/>
  <c r="F36" s="1"/>
  <c r="G4" s="1"/>
  <c r="G36" s="1"/>
  <c r="H4" s="1"/>
  <c r="H36" s="1"/>
  <c r="I4" s="1"/>
  <c r="I36" s="1"/>
  <c r="J4" s="1"/>
  <c r="J36" s="1"/>
  <c r="P9"/>
  <c r="O9"/>
  <c r="K7"/>
  <c r="F7"/>
  <c r="F15" s="1"/>
  <c r="F19" s="1"/>
  <c r="F35" s="1"/>
  <c r="J39" l="1"/>
  <c r="K4"/>
  <c r="K34"/>
  <c r="F82" i="34" l="1"/>
  <c r="E88" i="33"/>
  <c r="D88"/>
  <c r="C88"/>
  <c r="E82"/>
  <c r="D82"/>
  <c r="C82"/>
  <c r="E78"/>
  <c r="C78"/>
  <c r="D75"/>
  <c r="D78" s="1"/>
  <c r="D74"/>
  <c r="E71"/>
  <c r="E89" s="1"/>
  <c r="C80" i="34" s="1"/>
  <c r="D71" i="33"/>
  <c r="D89" s="1"/>
  <c r="C71"/>
  <c r="C89" s="1"/>
  <c r="C66"/>
  <c r="D63"/>
  <c r="D66" s="1"/>
  <c r="E62"/>
  <c r="E66" s="1"/>
  <c r="D59"/>
  <c r="C59"/>
  <c r="E56"/>
  <c r="E59" s="1"/>
  <c r="D56"/>
  <c r="E54"/>
  <c r="C54"/>
  <c r="D50"/>
  <c r="D54" s="1"/>
  <c r="E47"/>
  <c r="C47"/>
  <c r="D44"/>
  <c r="D47" s="1"/>
  <c r="E42"/>
  <c r="E60" s="1"/>
  <c r="C42"/>
  <c r="D39"/>
  <c r="D38"/>
  <c r="D37"/>
  <c r="D36"/>
  <c r="D33"/>
  <c r="D42" s="1"/>
  <c r="E26"/>
  <c r="C73" i="34" s="1"/>
  <c r="D26" i="33"/>
  <c r="C26"/>
  <c r="E20"/>
  <c r="C72" i="34" s="1"/>
  <c r="D20" i="33"/>
  <c r="C20"/>
  <c r="C13"/>
  <c r="D12"/>
  <c r="E11"/>
  <c r="C69" i="34" s="1"/>
  <c r="D11" i="33"/>
  <c r="C9"/>
  <c r="C11" s="1"/>
  <c r="E7"/>
  <c r="D7"/>
  <c r="D29" s="1"/>
  <c r="C7"/>
  <c r="E29" l="1"/>
  <c r="C68" i="34"/>
  <c r="L7" i="35"/>
  <c r="O7" s="1"/>
  <c r="P7" s="1"/>
  <c r="C78" i="34"/>
  <c r="L9" i="35"/>
  <c r="C79" i="34"/>
  <c r="C29" i="33"/>
  <c r="C77" i="34"/>
  <c r="C81" s="1"/>
  <c r="C60" i="33"/>
  <c r="D60"/>
  <c r="D91" s="1"/>
  <c r="D93" s="1"/>
  <c r="D94" s="1"/>
  <c r="C76" i="34" l="1"/>
  <c r="D77"/>
  <c r="D80"/>
  <c r="D78"/>
  <c r="D79"/>
  <c r="C91" i="33"/>
  <c r="C93" s="1"/>
  <c r="C94" s="1"/>
  <c r="E91"/>
  <c r="D37" i="30" s="1"/>
  <c r="L6" i="35"/>
  <c r="X52" i="31"/>
  <c r="W52"/>
  <c r="V52"/>
  <c r="S52"/>
  <c r="P52"/>
  <c r="O52"/>
  <c r="N52"/>
  <c r="M52"/>
  <c r="L52"/>
  <c r="K52"/>
  <c r="J52"/>
  <c r="I52"/>
  <c r="H52"/>
  <c r="G52"/>
  <c r="F52"/>
  <c r="E52"/>
  <c r="D52"/>
  <c r="C52"/>
  <c r="T50"/>
  <c r="T52" s="1"/>
  <c r="Q50"/>
  <c r="Q52" s="1"/>
  <c r="B50"/>
  <c r="B52" s="1"/>
  <c r="V43"/>
  <c r="B43" s="1"/>
  <c r="X40"/>
  <c r="W40"/>
  <c r="U40"/>
  <c r="T40"/>
  <c r="S40"/>
  <c r="R40"/>
  <c r="Q40"/>
  <c r="P40"/>
  <c r="W38"/>
  <c r="W47" s="1"/>
  <c r="W54" s="1"/>
  <c r="V38"/>
  <c r="L38"/>
  <c r="L47" s="1"/>
  <c r="L54" s="1"/>
  <c r="J38"/>
  <c r="J47" s="1"/>
  <c r="J54" s="1"/>
  <c r="I38"/>
  <c r="I47" s="1"/>
  <c r="I54" s="1"/>
  <c r="G38"/>
  <c r="G47" s="1"/>
  <c r="G54" s="1"/>
  <c r="F38"/>
  <c r="F47" s="1"/>
  <c r="F54" s="1"/>
  <c r="D38"/>
  <c r="D47" s="1"/>
  <c r="D54" s="1"/>
  <c r="C38"/>
  <c r="C47" s="1"/>
  <c r="C54" s="1"/>
  <c r="B47"/>
  <c r="B54" s="1"/>
  <c r="R35"/>
  <c r="Q35" s="1"/>
  <c r="U32"/>
  <c r="Q32" s="1"/>
  <c r="U31"/>
  <c r="Q31" s="1"/>
  <c r="U30"/>
  <c r="Q30" s="1"/>
  <c r="U29"/>
  <c r="Q29" s="1"/>
  <c r="U28"/>
  <c r="Q28" s="1"/>
  <c r="O24"/>
  <c r="H24"/>
  <c r="H38" s="1"/>
  <c r="H47" s="1"/>
  <c r="H54" s="1"/>
  <c r="E24"/>
  <c r="E38" s="1"/>
  <c r="E47" s="1"/>
  <c r="E54" s="1"/>
  <c r="O23"/>
  <c r="O38" s="1"/>
  <c r="O47" s="1"/>
  <c r="O54" s="1"/>
  <c r="K18" i="35" s="1"/>
  <c r="K19" s="1"/>
  <c r="K35" s="1"/>
  <c r="K36" s="1"/>
  <c r="M23" i="31"/>
  <c r="M47" s="1"/>
  <c r="M54" s="1"/>
  <c r="K23"/>
  <c r="N14"/>
  <c r="Q8"/>
  <c r="P7"/>
  <c r="S7" s="1"/>
  <c r="S6"/>
  <c r="R6"/>
  <c r="Q6"/>
  <c r="D70" i="34" l="1"/>
  <c r="D74"/>
  <c r="D71"/>
  <c r="D75"/>
  <c r="D69"/>
  <c r="D72"/>
  <c r="D73"/>
  <c r="D68"/>
  <c r="S47" i="31"/>
  <c r="S54" s="1"/>
  <c r="O24" i="35" s="1"/>
  <c r="V47" i="31"/>
  <c r="V54" s="1"/>
  <c r="V40"/>
  <c r="K39" i="35"/>
  <c r="L4"/>
  <c r="R50" i="31"/>
  <c r="R52" s="1"/>
  <c r="U50"/>
  <c r="U52" s="1"/>
  <c r="O6" i="35"/>
  <c r="L15"/>
  <c r="U7" i="31"/>
  <c r="X7"/>
  <c r="T7"/>
  <c r="T6"/>
  <c r="X6"/>
  <c r="R7"/>
  <c r="K24"/>
  <c r="K38" s="1"/>
  <c r="K47" s="1"/>
  <c r="K54" s="1"/>
  <c r="Q34"/>
  <c r="P47"/>
  <c r="P54" s="1"/>
  <c r="U6"/>
  <c r="Q7"/>
  <c r="H93" i="24"/>
  <c r="H134"/>
  <c r="H77"/>
  <c r="H17" i="25"/>
  <c r="H128" i="16"/>
  <c r="H18" i="18"/>
  <c r="H164" i="3"/>
  <c r="I164"/>
  <c r="G164"/>
  <c r="H85" i="22"/>
  <c r="F85"/>
  <c r="U47" i="31" l="1"/>
  <c r="U54" s="1"/>
  <c r="O18" i="35" s="1"/>
  <c r="N7" i="31"/>
  <c r="N38" s="1"/>
  <c r="N47" s="1"/>
  <c r="N54" s="1"/>
  <c r="X47"/>
  <c r="X54" s="1"/>
  <c r="P18" i="35" s="1"/>
  <c r="T47" i="31"/>
  <c r="T54" s="1"/>
  <c r="P6" i="35"/>
  <c r="P15" s="1"/>
  <c r="O15"/>
  <c r="R47" i="31"/>
  <c r="R54" s="1"/>
  <c r="L18" i="35" s="1"/>
  <c r="L19" s="1"/>
  <c r="Q47" i="31"/>
  <c r="Q54" s="1"/>
  <c r="H37" i="17"/>
  <c r="H36"/>
  <c r="P19" i="35" l="1"/>
  <c r="O19"/>
  <c r="I23" i="3"/>
  <c r="I24"/>
  <c r="G24"/>
  <c r="G23"/>
  <c r="G209"/>
  <c r="H209"/>
  <c r="I209"/>
  <c r="H254"/>
  <c r="H258"/>
  <c r="H260"/>
  <c r="H265"/>
  <c r="H266"/>
  <c r="H269"/>
  <c r="H270"/>
  <c r="H271"/>
  <c r="H274"/>
  <c r="H276"/>
  <c r="H277"/>
  <c r="H278"/>
  <c r="H279"/>
  <c r="H280"/>
  <c r="H281"/>
  <c r="H282"/>
  <c r="H283"/>
  <c r="H284"/>
  <c r="H285"/>
  <c r="H286"/>
  <c r="H287"/>
  <c r="H289"/>
  <c r="H290"/>
  <c r="H291"/>
  <c r="H292"/>
  <c r="H293"/>
  <c r="H294"/>
  <c r="H295"/>
  <c r="H296"/>
  <c r="H297"/>
  <c r="H298"/>
  <c r="H299"/>
  <c r="H300"/>
  <c r="H301"/>
  <c r="H302"/>
  <c r="H303"/>
  <c r="H304"/>
  <c r="H137"/>
  <c r="H115"/>
  <c r="G137"/>
  <c r="H117"/>
  <c r="G117"/>
  <c r="G53" i="9"/>
  <c r="F53"/>
  <c r="G82" i="22"/>
  <c r="G85" s="1"/>
  <c r="G83"/>
  <c r="H23" i="3" s="1"/>
  <c r="H138"/>
  <c r="I138"/>
  <c r="G138"/>
  <c r="H87"/>
  <c r="I87"/>
  <c r="G87"/>
  <c r="I115"/>
  <c r="I117"/>
  <c r="I118"/>
  <c r="I119"/>
  <c r="H118"/>
  <c r="H119"/>
  <c r="G119"/>
  <c r="G118"/>
  <c r="H116"/>
  <c r="I116"/>
  <c r="G115"/>
  <c r="H76" i="29"/>
  <c r="H24" i="3" l="1"/>
  <c r="H74" i="29"/>
  <c r="H42" i="24" l="1"/>
  <c r="G69" i="29" l="1"/>
  <c r="H174" i="24"/>
  <c r="F174"/>
  <c r="H133" l="1"/>
  <c r="H40" i="9" l="1"/>
  <c r="G72" i="29"/>
  <c r="I190" i="3" l="1"/>
  <c r="H190"/>
  <c r="G190"/>
  <c r="H32" i="18" l="1"/>
  <c r="H73" i="29" s="1"/>
  <c r="G32" i="18"/>
  <c r="F32"/>
  <c r="H50" i="12"/>
  <c r="H75" i="29" s="1"/>
  <c r="G74" i="16"/>
  <c r="H74"/>
  <c r="I303" i="3" l="1"/>
  <c r="G303"/>
  <c r="I289"/>
  <c r="G289"/>
  <c r="H248"/>
  <c r="I248"/>
  <c r="H249"/>
  <c r="I249"/>
  <c r="G249"/>
  <c r="G248"/>
  <c r="F50" i="12"/>
  <c r="I213" i="3"/>
  <c r="H213"/>
  <c r="G213"/>
  <c r="H32"/>
  <c r="I32"/>
  <c r="G32"/>
  <c r="G33"/>
  <c r="G127"/>
  <c r="I127"/>
  <c r="H127"/>
  <c r="G122"/>
  <c r="I122"/>
  <c r="H122"/>
  <c r="G126"/>
  <c r="I126"/>
  <c r="H126"/>
  <c r="G123"/>
  <c r="I123"/>
  <c r="H123"/>
  <c r="K71" i="4"/>
  <c r="H12" i="22" l="1"/>
  <c r="F29"/>
  <c r="H29" l="1"/>
  <c r="H111" i="3"/>
  <c r="I111"/>
  <c r="I112"/>
  <c r="H113"/>
  <c r="I113"/>
  <c r="H114"/>
  <c r="I114"/>
  <c r="G112"/>
  <c r="G113"/>
  <c r="G114"/>
  <c r="G111"/>
  <c r="I246"/>
  <c r="I247"/>
  <c r="G247"/>
  <c r="G246"/>
  <c r="H182"/>
  <c r="I182"/>
  <c r="H184"/>
  <c r="I184"/>
  <c r="H185"/>
  <c r="I185"/>
  <c r="H186"/>
  <c r="I186"/>
  <c r="G185"/>
  <c r="G186"/>
  <c r="G184"/>
  <c r="G182"/>
  <c r="H128"/>
  <c r="I128"/>
  <c r="H129"/>
  <c r="I129"/>
  <c r="H130"/>
  <c r="I130"/>
  <c r="I131"/>
  <c r="H132"/>
  <c r="I132"/>
  <c r="H133"/>
  <c r="I133"/>
  <c r="H134"/>
  <c r="I134"/>
  <c r="I135"/>
  <c r="H136"/>
  <c r="I139"/>
  <c r="H140"/>
  <c r="I140"/>
  <c r="H141"/>
  <c r="I141"/>
  <c r="H142"/>
  <c r="I142"/>
  <c r="I143"/>
  <c r="H144"/>
  <c r="I144"/>
  <c r="H145"/>
  <c r="I145"/>
  <c r="H146"/>
  <c r="I146"/>
  <c r="I147"/>
  <c r="I148"/>
  <c r="H150"/>
  <c r="H151"/>
  <c r="I151"/>
  <c r="H152"/>
  <c r="I152"/>
  <c r="H153"/>
  <c r="I153"/>
  <c r="H154"/>
  <c r="I154"/>
  <c r="H155"/>
  <c r="I155"/>
  <c r="H156"/>
  <c r="I156"/>
  <c r="H157"/>
  <c r="I157"/>
  <c r="H158"/>
  <c r="I158"/>
  <c r="I159"/>
  <c r="I165"/>
  <c r="H166"/>
  <c r="H167"/>
  <c r="I167"/>
  <c r="H168"/>
  <c r="I168"/>
  <c r="H169"/>
  <c r="I169"/>
  <c r="H170"/>
  <c r="I170"/>
  <c r="I171"/>
  <c r="H172"/>
  <c r="I172"/>
  <c r="I173"/>
  <c r="H174"/>
  <c r="I174"/>
  <c r="H177"/>
  <c r="I177"/>
  <c r="I178"/>
  <c r="H179"/>
  <c r="I179"/>
  <c r="H180"/>
  <c r="I180"/>
  <c r="G128"/>
  <c r="G129"/>
  <c r="G130"/>
  <c r="G131"/>
  <c r="G132"/>
  <c r="G133"/>
  <c r="G134"/>
  <c r="G135"/>
  <c r="G136"/>
  <c r="G139"/>
  <c r="G140"/>
  <c r="G141"/>
  <c r="G142"/>
  <c r="G144"/>
  <c r="G145"/>
  <c r="G146"/>
  <c r="G150"/>
  <c r="G151"/>
  <c r="G152"/>
  <c r="G153"/>
  <c r="G154"/>
  <c r="G155"/>
  <c r="G156"/>
  <c r="G157"/>
  <c r="G158"/>
  <c r="G165"/>
  <c r="G166"/>
  <c r="G167"/>
  <c r="G168"/>
  <c r="G169"/>
  <c r="G170"/>
  <c r="G172"/>
  <c r="G173"/>
  <c r="G174"/>
  <c r="G177"/>
  <c r="G178"/>
  <c r="G179"/>
  <c r="G180"/>
  <c r="G116"/>
  <c r="E73" i="29"/>
  <c r="I269" i="3"/>
  <c r="I270"/>
  <c r="I271"/>
  <c r="I273"/>
  <c r="I274"/>
  <c r="I275"/>
  <c r="I276"/>
  <c r="I277"/>
  <c r="I278"/>
  <c r="I279"/>
  <c r="I280"/>
  <c r="I281"/>
  <c r="I282"/>
  <c r="I283"/>
  <c r="I284"/>
  <c r="I285"/>
  <c r="I286"/>
  <c r="I287"/>
  <c r="I288"/>
  <c r="I290"/>
  <c r="I291"/>
  <c r="I292"/>
  <c r="I293"/>
  <c r="I295"/>
  <c r="I296"/>
  <c r="I297"/>
  <c r="I298"/>
  <c r="I299"/>
  <c r="I300"/>
  <c r="I301"/>
  <c r="I302"/>
  <c r="I304"/>
  <c r="G274"/>
  <c r="G275"/>
  <c r="G276"/>
  <c r="G277"/>
  <c r="G278"/>
  <c r="G279"/>
  <c r="G280"/>
  <c r="G281"/>
  <c r="G282"/>
  <c r="G283"/>
  <c r="G284"/>
  <c r="G285"/>
  <c r="G286"/>
  <c r="G287"/>
  <c r="G288"/>
  <c r="G290"/>
  <c r="G291"/>
  <c r="G292"/>
  <c r="G293"/>
  <c r="G294"/>
  <c r="G295"/>
  <c r="G296"/>
  <c r="G297"/>
  <c r="G298"/>
  <c r="G299"/>
  <c r="G300"/>
  <c r="G301"/>
  <c r="G302"/>
  <c r="G304"/>
  <c r="G273"/>
  <c r="G270"/>
  <c r="G271"/>
  <c r="G269"/>
  <c r="H238"/>
  <c r="I238"/>
  <c r="H239"/>
  <c r="I239"/>
  <c r="G239"/>
  <c r="G238"/>
  <c r="I221"/>
  <c r="I222"/>
  <c r="I223"/>
  <c r="H225"/>
  <c r="I225"/>
  <c r="H226"/>
  <c r="I226"/>
  <c r="H230"/>
  <c r="I230"/>
  <c r="H231"/>
  <c r="I231"/>
  <c r="H232"/>
  <c r="I232"/>
  <c r="H233"/>
  <c r="I233"/>
  <c r="I234"/>
  <c r="I235"/>
  <c r="G231"/>
  <c r="G232"/>
  <c r="G233"/>
  <c r="G234"/>
  <c r="G235"/>
  <c r="G230"/>
  <c r="G226"/>
  <c r="G225"/>
  <c r="I218"/>
  <c r="H219"/>
  <c r="I219"/>
  <c r="H220"/>
  <c r="I220"/>
  <c r="G219"/>
  <c r="G220"/>
  <c r="H212"/>
  <c r="I212"/>
  <c r="H214"/>
  <c r="I214"/>
  <c r="G212"/>
  <c r="G214"/>
  <c r="H211"/>
  <c r="I211"/>
  <c r="G211"/>
  <c r="H199" i="16"/>
  <c r="H183"/>
  <c r="H189"/>
  <c r="H177"/>
  <c r="I224" i="3" s="1"/>
  <c r="H154" i="16"/>
  <c r="H152"/>
  <c r="G148"/>
  <c r="H148"/>
  <c r="F148"/>
  <c r="D73" i="29"/>
  <c r="C73"/>
  <c r="H92" i="9"/>
  <c r="H88"/>
  <c r="H43"/>
  <c r="H30" i="23"/>
  <c r="H17" i="13"/>
  <c r="H22" s="1"/>
  <c r="G22" i="8"/>
  <c r="I43" i="3"/>
  <c r="H44"/>
  <c r="I44"/>
  <c r="H45"/>
  <c r="I45"/>
  <c r="I46"/>
  <c r="H47"/>
  <c r="I47"/>
  <c r="I48"/>
  <c r="H49"/>
  <c r="I49"/>
  <c r="I50"/>
  <c r="H51"/>
  <c r="I51"/>
  <c r="H52"/>
  <c r="I52"/>
  <c r="H53"/>
  <c r="I53"/>
  <c r="H54"/>
  <c r="I54"/>
  <c r="H55"/>
  <c r="I55"/>
  <c r="I62"/>
  <c r="I63"/>
  <c r="H65"/>
  <c r="I65"/>
  <c r="H66"/>
  <c r="I66"/>
  <c r="I67"/>
  <c r="H68"/>
  <c r="I68"/>
  <c r="I69"/>
  <c r="H70"/>
  <c r="I70"/>
  <c r="I71"/>
  <c r="H72"/>
  <c r="I72"/>
  <c r="H73"/>
  <c r="I73"/>
  <c r="I74"/>
  <c r="H75"/>
  <c r="I75"/>
  <c r="H76"/>
  <c r="I76"/>
  <c r="H77"/>
  <c r="I77"/>
  <c r="H78"/>
  <c r="I78"/>
  <c r="H79"/>
  <c r="I79"/>
  <c r="I80"/>
  <c r="H81"/>
  <c r="I81"/>
  <c r="H82"/>
  <c r="I82"/>
  <c r="H83"/>
  <c r="I83"/>
  <c r="H84"/>
  <c r="I84"/>
  <c r="H85"/>
  <c r="I85"/>
  <c r="H86"/>
  <c r="I86"/>
  <c r="H88"/>
  <c r="I88"/>
  <c r="G88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65"/>
  <c r="G63"/>
  <c r="G62"/>
  <c r="G43"/>
  <c r="G44"/>
  <c r="G45"/>
  <c r="G46"/>
  <c r="G47"/>
  <c r="G48"/>
  <c r="G49"/>
  <c r="G50"/>
  <c r="G51"/>
  <c r="G52"/>
  <c r="G53"/>
  <c r="G54"/>
  <c r="G55"/>
  <c r="H20" i="20"/>
  <c r="E40" i="29" s="1"/>
  <c r="D69"/>
  <c r="E69"/>
  <c r="H138" i="24"/>
  <c r="I64" i="3" s="1"/>
  <c r="I61"/>
  <c r="H112" i="24"/>
  <c r="H108"/>
  <c r="H92"/>
  <c r="H78"/>
  <c r="H67"/>
  <c r="F67"/>
  <c r="G56" i="3" s="1"/>
  <c r="H33" i="24"/>
  <c r="H22"/>
  <c r="I41" i="3" s="1"/>
  <c r="H19" i="24"/>
  <c r="I40" i="3" s="1"/>
  <c r="H15" i="24"/>
  <c r="H31" i="3"/>
  <c r="I31"/>
  <c r="H33"/>
  <c r="I33"/>
  <c r="H35"/>
  <c r="I35"/>
  <c r="H36"/>
  <c r="I36"/>
  <c r="G36"/>
  <c r="G35"/>
  <c r="G31"/>
  <c r="H52" i="23"/>
  <c r="H49"/>
  <c r="I29" i="3"/>
  <c r="H57" i="22"/>
  <c r="H43"/>
  <c r="I250" i="3"/>
  <c r="G42" i="25"/>
  <c r="H251" i="3" s="1"/>
  <c r="H42" i="25"/>
  <c r="H46" s="1"/>
  <c r="F42"/>
  <c r="I252" i="3"/>
  <c r="H253"/>
  <c r="I253"/>
  <c r="G254"/>
  <c r="G253"/>
  <c r="G252"/>
  <c r="G251"/>
  <c r="G57" i="25"/>
  <c r="D76" i="29" s="1"/>
  <c r="F57" i="25"/>
  <c r="C76" i="29" s="1"/>
  <c r="H14" i="21"/>
  <c r="I20" i="3" s="1"/>
  <c r="G43" i="25"/>
  <c r="F17"/>
  <c r="G250" i="3" s="1"/>
  <c r="G16" i="25"/>
  <c r="G17" s="1"/>
  <c r="C69" i="29"/>
  <c r="G155" i="24"/>
  <c r="G149"/>
  <c r="G146"/>
  <c r="G144"/>
  <c r="G142"/>
  <c r="F138"/>
  <c r="G64" i="3" s="1"/>
  <c r="G135" i="24"/>
  <c r="H63" i="3" s="1"/>
  <c r="G134" i="24"/>
  <c r="H62" i="3"/>
  <c r="F133" i="24"/>
  <c r="G132"/>
  <c r="G128"/>
  <c r="G127"/>
  <c r="G124"/>
  <c r="G120"/>
  <c r="G119"/>
  <c r="F112"/>
  <c r="G60" i="3" s="1"/>
  <c r="G111" i="24"/>
  <c r="G105"/>
  <c r="G104"/>
  <c r="G99"/>
  <c r="G98"/>
  <c r="G97"/>
  <c r="G95"/>
  <c r="G94"/>
  <c r="G93"/>
  <c r="F93"/>
  <c r="F108" s="1"/>
  <c r="F92"/>
  <c r="G58" i="3" s="1"/>
  <c r="G90" i="24"/>
  <c r="G80"/>
  <c r="F78"/>
  <c r="G57" i="3" s="1"/>
  <c r="G77" i="24"/>
  <c r="G76"/>
  <c r="G74"/>
  <c r="G64"/>
  <c r="G59"/>
  <c r="G58"/>
  <c r="G54"/>
  <c r="G51"/>
  <c r="G48"/>
  <c r="G41"/>
  <c r="G39"/>
  <c r="G37"/>
  <c r="G34"/>
  <c r="F33"/>
  <c r="G42" i="3" s="1"/>
  <c r="G32" i="24"/>
  <c r="G31"/>
  <c r="F22"/>
  <c r="G41" i="3" s="1"/>
  <c r="G21" i="24"/>
  <c r="F19"/>
  <c r="G40" i="3" s="1"/>
  <c r="G17" i="24"/>
  <c r="F15"/>
  <c r="G10"/>
  <c r="G9"/>
  <c r="G8"/>
  <c r="G7"/>
  <c r="G52" i="23"/>
  <c r="H38" i="3" s="1"/>
  <c r="F52" i="23"/>
  <c r="G38" i="3" s="1"/>
  <c r="G49" i="23"/>
  <c r="G54" s="1"/>
  <c r="D68" i="29" s="1"/>
  <c r="F49" i="23"/>
  <c r="F54" s="1"/>
  <c r="F30"/>
  <c r="C44" i="29" s="1"/>
  <c r="G24" i="23"/>
  <c r="G15"/>
  <c r="G21"/>
  <c r="G12"/>
  <c r="G19"/>
  <c r="F57" i="22"/>
  <c r="G22" i="3" s="1"/>
  <c r="G53" i="22"/>
  <c r="G57" s="1"/>
  <c r="H22" i="3" s="1"/>
  <c r="G42" i="22"/>
  <c r="F40"/>
  <c r="F43" s="1"/>
  <c r="G39"/>
  <c r="G40"/>
  <c r="G22"/>
  <c r="G21"/>
  <c r="G20"/>
  <c r="G7"/>
  <c r="F14" i="21"/>
  <c r="F16" s="1"/>
  <c r="G13"/>
  <c r="G7"/>
  <c r="G14"/>
  <c r="H20" i="3" s="1"/>
  <c r="F20" i="20"/>
  <c r="C40" i="29" s="1"/>
  <c r="C14" s="1"/>
  <c r="G9" i="20"/>
  <c r="H16" i="3"/>
  <c r="I16"/>
  <c r="I17"/>
  <c r="G17"/>
  <c r="G16"/>
  <c r="H13" i="19"/>
  <c r="G15"/>
  <c r="H17" i="3"/>
  <c r="G13" i="19"/>
  <c r="H15" i="3" s="1"/>
  <c r="F13" i="19"/>
  <c r="H191" i="3"/>
  <c r="I191"/>
  <c r="G191"/>
  <c r="H14" i="18"/>
  <c r="H11"/>
  <c r="F18"/>
  <c r="G189" i="3" s="1"/>
  <c r="G16" i="18"/>
  <c r="G18" s="1"/>
  <c r="G14"/>
  <c r="H188" i="3" s="1"/>
  <c r="F14" i="18"/>
  <c r="G188" i="3" s="1"/>
  <c r="G11" i="18"/>
  <c r="H187" i="3" s="1"/>
  <c r="F11" i="18"/>
  <c r="G187" i="3" s="1"/>
  <c r="H196"/>
  <c r="I196"/>
  <c r="I208"/>
  <c r="H210"/>
  <c r="I210"/>
  <c r="G210"/>
  <c r="G208"/>
  <c r="G196"/>
  <c r="I200"/>
  <c r="H114" i="16"/>
  <c r="I206" i="3" s="1"/>
  <c r="G117" i="16"/>
  <c r="H111"/>
  <c r="H103"/>
  <c r="H91"/>
  <c r="G91"/>
  <c r="H203" i="3" s="1"/>
  <c r="F91" i="16"/>
  <c r="G203" i="3" s="1"/>
  <c r="H85" i="16"/>
  <c r="H79"/>
  <c r="I201" i="3" s="1"/>
  <c r="G69" i="16"/>
  <c r="H199" i="3" s="1"/>
  <c r="H69" i="16"/>
  <c r="F69"/>
  <c r="G199" i="3" s="1"/>
  <c r="H65" i="16"/>
  <c r="I198" i="3" s="1"/>
  <c r="G62" i="16"/>
  <c r="G61"/>
  <c r="G60"/>
  <c r="H47"/>
  <c r="H40"/>
  <c r="I195" i="3" s="1"/>
  <c r="H33" i="16"/>
  <c r="H19"/>
  <c r="H11"/>
  <c r="H27" i="3"/>
  <c r="I27"/>
  <c r="H28"/>
  <c r="I28"/>
  <c r="G28"/>
  <c r="G27"/>
  <c r="G89" i="17"/>
  <c r="D67" i="29" s="1"/>
  <c r="H89" i="17"/>
  <c r="H67" i="29" s="1"/>
  <c r="H60" i="17"/>
  <c r="H12"/>
  <c r="H11"/>
  <c r="F89"/>
  <c r="C67" i="29" s="1"/>
  <c r="F60" i="17"/>
  <c r="G26" i="3" s="1"/>
  <c r="G59" i="17"/>
  <c r="G55"/>
  <c r="G60" s="1"/>
  <c r="H26" i="3" s="1"/>
  <c r="G32" i="17"/>
  <c r="G30"/>
  <c r="G16"/>
  <c r="G14"/>
  <c r="F12"/>
  <c r="F11"/>
  <c r="F45" s="1"/>
  <c r="G8"/>
  <c r="G7"/>
  <c r="F199" i="16"/>
  <c r="G237" i="3" s="1"/>
  <c r="G197" i="16"/>
  <c r="G195"/>
  <c r="H235" i="3" s="1"/>
  <c r="G194" i="16"/>
  <c r="H234" i="3" s="1"/>
  <c r="G183" i="16"/>
  <c r="H229" i="3" s="1"/>
  <c r="F183" i="16"/>
  <c r="G229" i="3" s="1"/>
  <c r="F189" i="16"/>
  <c r="G228" i="3" s="1"/>
  <c r="G187" i="16"/>
  <c r="G227" i="3"/>
  <c r="G179" i="16"/>
  <c r="G177"/>
  <c r="H224" i="3" s="1"/>
  <c r="F177" i="16"/>
  <c r="G224" i="3" s="1"/>
  <c r="G223"/>
  <c r="G174" i="16"/>
  <c r="G172"/>
  <c r="G222" i="3"/>
  <c r="G221"/>
  <c r="G163" i="16"/>
  <c r="G162"/>
  <c r="F159"/>
  <c r="G218" i="3" s="1"/>
  <c r="G155" i="16"/>
  <c r="G154"/>
  <c r="H217" i="3" s="1"/>
  <c r="F154" i="16"/>
  <c r="G217" i="3" s="1"/>
  <c r="F152" i="16"/>
  <c r="G216" i="3" s="1"/>
  <c r="G151" i="16"/>
  <c r="G150"/>
  <c r="G149"/>
  <c r="G129"/>
  <c r="G125"/>
  <c r="G124"/>
  <c r="G123"/>
  <c r="G121"/>
  <c r="F121"/>
  <c r="F128" s="1"/>
  <c r="F114"/>
  <c r="G206" i="3" s="1"/>
  <c r="G113" i="16"/>
  <c r="F111"/>
  <c r="G205" i="3" s="1"/>
  <c r="G110" i="16"/>
  <c r="F103"/>
  <c r="G204" i="3" s="1"/>
  <c r="G102" i="16"/>
  <c r="G99"/>
  <c r="G94"/>
  <c r="G93"/>
  <c r="F85"/>
  <c r="G202" i="3"/>
  <c r="G84" i="16"/>
  <c r="G85"/>
  <c r="F79"/>
  <c r="G201" i="3"/>
  <c r="G77" i="16"/>
  <c r="G79"/>
  <c r="F74"/>
  <c r="G200" i="3" s="1"/>
  <c r="H200"/>
  <c r="F65" i="16"/>
  <c r="G198" i="3" s="1"/>
  <c r="G57" i="16"/>
  <c r="G54"/>
  <c r="G52"/>
  <c r="G51"/>
  <c r="G50"/>
  <c r="G49"/>
  <c r="F47"/>
  <c r="G197" i="3" s="1"/>
  <c r="G46" i="16"/>
  <c r="G47"/>
  <c r="F40"/>
  <c r="G195" i="3" s="1"/>
  <c r="G37" i="16"/>
  <c r="G36"/>
  <c r="G35"/>
  <c r="F33"/>
  <c r="G32"/>
  <c r="G31"/>
  <c r="G30"/>
  <c r="G29"/>
  <c r="G28"/>
  <c r="F19"/>
  <c r="G193" i="3" s="1"/>
  <c r="G16" i="16"/>
  <c r="G13"/>
  <c r="G11" i="17"/>
  <c r="G12"/>
  <c r="G45" s="1"/>
  <c r="G8" i="16"/>
  <c r="G10"/>
  <c r="F11"/>
  <c r="G7"/>
  <c r="G9"/>
  <c r="G207" i="3"/>
  <c r="H101"/>
  <c r="I101"/>
  <c r="H103"/>
  <c r="I103"/>
  <c r="H104"/>
  <c r="I104"/>
  <c r="G104"/>
  <c r="G103"/>
  <c r="G101"/>
  <c r="G100"/>
  <c r="H89"/>
  <c r="I89"/>
  <c r="I90"/>
  <c r="I91"/>
  <c r="H92"/>
  <c r="I92"/>
  <c r="H93"/>
  <c r="I93"/>
  <c r="I94"/>
  <c r="H95"/>
  <c r="I95"/>
  <c r="I96"/>
  <c r="G90"/>
  <c r="G91"/>
  <c r="G92"/>
  <c r="G93"/>
  <c r="G94"/>
  <c r="G95"/>
  <c r="G96"/>
  <c r="G89"/>
  <c r="H59" i="15"/>
  <c r="H55"/>
  <c r="H46"/>
  <c r="H38"/>
  <c r="H28"/>
  <c r="H41" s="1"/>
  <c r="H20"/>
  <c r="G73"/>
  <c r="F73"/>
  <c r="F59"/>
  <c r="G102" i="3"/>
  <c r="G58" i="15"/>
  <c r="G59"/>
  <c r="H102" i="3" s="1"/>
  <c r="G55" i="15"/>
  <c r="H100" i="3" s="1"/>
  <c r="G46" i="15"/>
  <c r="H99" i="3" s="1"/>
  <c r="F46" i="15"/>
  <c r="G99" i="3" s="1"/>
  <c r="G40" i="15"/>
  <c r="G39"/>
  <c r="G38"/>
  <c r="F38"/>
  <c r="G30"/>
  <c r="G28"/>
  <c r="G41" s="1"/>
  <c r="F28"/>
  <c r="F41"/>
  <c r="F20"/>
  <c r="G97" i="3"/>
  <c r="G19" i="15"/>
  <c r="G14"/>
  <c r="G12"/>
  <c r="G9"/>
  <c r="G8"/>
  <c r="I257" i="3"/>
  <c r="I258"/>
  <c r="I260"/>
  <c r="I262"/>
  <c r="I263"/>
  <c r="I264"/>
  <c r="I265"/>
  <c r="I266"/>
  <c r="G266"/>
  <c r="G265"/>
  <c r="G264"/>
  <c r="G263"/>
  <c r="G262"/>
  <c r="G260"/>
  <c r="G258"/>
  <c r="G257"/>
  <c r="H39" i="13"/>
  <c r="I261" i="3" s="1"/>
  <c r="H33" i="13"/>
  <c r="H15"/>
  <c r="H243" i="3"/>
  <c r="I243"/>
  <c r="I244"/>
  <c r="H245"/>
  <c r="I245"/>
  <c r="G245"/>
  <c r="G244"/>
  <c r="G243"/>
  <c r="G94" i="13"/>
  <c r="H288" i="3" s="1"/>
  <c r="G85" i="13"/>
  <c r="H275" i="3" s="1"/>
  <c r="G83" i="13"/>
  <c r="H273" i="3" s="1"/>
  <c r="G73" i="13"/>
  <c r="H272" i="3" s="1"/>
  <c r="F73" i="13"/>
  <c r="G272" i="3" s="1"/>
  <c r="G68" i="13"/>
  <c r="G42"/>
  <c r="H264" i="3" s="1"/>
  <c r="G41" i="13"/>
  <c r="H263" i="3" s="1"/>
  <c r="G40" i="13"/>
  <c r="H262" i="3" s="1"/>
  <c r="F39" i="13"/>
  <c r="G261" i="3" s="1"/>
  <c r="G38" i="13"/>
  <c r="F33"/>
  <c r="G259" i="3" s="1"/>
  <c r="G32" i="13"/>
  <c r="G31"/>
  <c r="G30"/>
  <c r="G29"/>
  <c r="G28"/>
  <c r="G26"/>
  <c r="G25"/>
  <c r="G23"/>
  <c r="H257" i="3" s="1"/>
  <c r="F22" i="13"/>
  <c r="G256" i="3" s="1"/>
  <c r="G17" i="13"/>
  <c r="G15"/>
  <c r="F15"/>
  <c r="E75" i="29"/>
  <c r="H31" i="12"/>
  <c r="I242" i="3" s="1"/>
  <c r="F31" i="12"/>
  <c r="G242" i="3" s="1"/>
  <c r="H18" i="12"/>
  <c r="I241" i="3" s="1"/>
  <c r="F14" i="12"/>
  <c r="H7"/>
  <c r="H14"/>
  <c r="I240" i="3"/>
  <c r="C75" i="29"/>
  <c r="G48" i="12"/>
  <c r="H247" i="3" s="1"/>
  <c r="G47" i="12"/>
  <c r="G33"/>
  <c r="H244" i="3" s="1"/>
  <c r="G28" i="12"/>
  <c r="G31" s="1"/>
  <c r="H242" i="3" s="1"/>
  <c r="G25" i="12"/>
  <c r="F18"/>
  <c r="G241" i="3" s="1"/>
  <c r="G17" i="12"/>
  <c r="G16"/>
  <c r="G18" s="1"/>
  <c r="G12"/>
  <c r="G10"/>
  <c r="G14"/>
  <c r="H24" i="9"/>
  <c r="H21"/>
  <c r="H13"/>
  <c r="G92"/>
  <c r="H183" i="3" s="1"/>
  <c r="F92" i="9"/>
  <c r="G183" i="3" s="1"/>
  <c r="G88" i="9"/>
  <c r="H181" i="3" s="1"/>
  <c r="F88" i="9"/>
  <c r="G181" i="3" s="1"/>
  <c r="G83" i="9"/>
  <c r="H178" i="3" s="1"/>
  <c r="G121" i="9"/>
  <c r="G46"/>
  <c r="F46"/>
  <c r="G171" i="3" s="1"/>
  <c r="G120" i="9"/>
  <c r="G115"/>
  <c r="F115"/>
  <c r="G159" i="3" s="1"/>
  <c r="G64" i="9"/>
  <c r="F64"/>
  <c r="G149" i="3" s="1"/>
  <c r="G114" i="9"/>
  <c r="F114"/>
  <c r="G148" i="3" s="1"/>
  <c r="G113" i="9"/>
  <c r="F113"/>
  <c r="G147" i="3" s="1"/>
  <c r="G110" i="9"/>
  <c r="H143" i="3" s="1"/>
  <c r="F110" i="9"/>
  <c r="G143" i="3" s="1"/>
  <c r="G108" i="9"/>
  <c r="G59"/>
  <c r="G106"/>
  <c r="G43"/>
  <c r="H121" i="3" s="1"/>
  <c r="F43" i="9"/>
  <c r="G121" i="3" s="1"/>
  <c r="G40" i="9"/>
  <c r="F40"/>
  <c r="G24"/>
  <c r="F24"/>
  <c r="F21"/>
  <c r="G18"/>
  <c r="G14"/>
  <c r="G13"/>
  <c r="H109" i="3" s="1"/>
  <c r="F13" i="9"/>
  <c r="G109" i="3" s="1"/>
  <c r="G8" i="9"/>
  <c r="G21" i="8"/>
  <c r="E21"/>
  <c r="G105" i="3" s="1"/>
  <c r="G24" i="8"/>
  <c r="F24"/>
  <c r="H106" i="3" s="1"/>
  <c r="E24" i="8"/>
  <c r="G30"/>
  <c r="E30"/>
  <c r="G107" i="3" s="1"/>
  <c r="E41" i="8"/>
  <c r="G108" i="3" s="1"/>
  <c r="G41" i="8"/>
  <c r="F38"/>
  <c r="F32"/>
  <c r="F28"/>
  <c r="F27"/>
  <c r="F12"/>
  <c r="F10" i="7"/>
  <c r="C39" i="29" s="1"/>
  <c r="C13" s="1"/>
  <c r="H7" i="4"/>
  <c r="H8"/>
  <c r="H9"/>
  <c r="H10"/>
  <c r="H11"/>
  <c r="H12"/>
  <c r="H13"/>
  <c r="F14"/>
  <c r="G14"/>
  <c r="H15"/>
  <c r="H16"/>
  <c r="H17"/>
  <c r="H18"/>
  <c r="H19"/>
  <c r="H20"/>
  <c r="H21"/>
  <c r="H22"/>
  <c r="H24"/>
  <c r="H25"/>
  <c r="F26"/>
  <c r="G26"/>
  <c r="G36"/>
  <c r="H36"/>
  <c r="F40"/>
  <c r="F45"/>
  <c r="G45"/>
  <c r="H45"/>
  <c r="H46"/>
  <c r="H47"/>
  <c r="H48"/>
  <c r="H49"/>
  <c r="H50"/>
  <c r="H51"/>
  <c r="H52"/>
  <c r="H53"/>
  <c r="H54"/>
  <c r="H55"/>
  <c r="H56"/>
  <c r="H57"/>
  <c r="H58"/>
  <c r="H60"/>
  <c r="H61"/>
  <c r="H62"/>
  <c r="F63"/>
  <c r="G63"/>
  <c r="H64"/>
  <c r="H65"/>
  <c r="H66"/>
  <c r="H67"/>
  <c r="H68"/>
  <c r="H69"/>
  <c r="H70"/>
  <c r="H71"/>
  <c r="H72"/>
  <c r="H75"/>
  <c r="H76"/>
  <c r="F77"/>
  <c r="G77"/>
  <c r="F79"/>
  <c r="G79"/>
  <c r="H79"/>
  <c r="H109" s="1"/>
  <c r="F89"/>
  <c r="G89"/>
  <c r="G91"/>
  <c r="H105"/>
  <c r="H107" s="1"/>
  <c r="F107"/>
  <c r="G107"/>
  <c r="G109"/>
  <c r="G10" i="7"/>
  <c r="D39" i="29" s="1"/>
  <c r="H10" i="7"/>
  <c r="E39" i="29" s="1"/>
  <c r="H14" i="3"/>
  <c r="I14"/>
  <c r="G14"/>
  <c r="G31" i="6"/>
  <c r="D61" i="29" s="1"/>
  <c r="H31" i="6"/>
  <c r="E61" i="29" s="1"/>
  <c r="H17" i="6"/>
  <c r="H14"/>
  <c r="F31"/>
  <c r="C61" i="29" s="1"/>
  <c r="F17" i="6"/>
  <c r="G16"/>
  <c r="F14"/>
  <c r="G12" i="3" s="1"/>
  <c r="G13" i="6"/>
  <c r="G12"/>
  <c r="G14" s="1"/>
  <c r="H12" i="3" s="1"/>
  <c r="I13"/>
  <c r="I4"/>
  <c r="I5"/>
  <c r="I6"/>
  <c r="I7"/>
  <c r="H9"/>
  <c r="I9"/>
  <c r="I10"/>
  <c r="G10"/>
  <c r="G9"/>
  <c r="G6"/>
  <c r="G4"/>
  <c r="I7" i="4"/>
  <c r="I8"/>
  <c r="J8" s="1"/>
  <c r="I11"/>
  <c r="J11"/>
  <c r="I13"/>
  <c r="J13"/>
  <c r="K14"/>
  <c r="J15"/>
  <c r="J18"/>
  <c r="J19"/>
  <c r="J25"/>
  <c r="I26"/>
  <c r="G3" i="3" s="1"/>
  <c r="K26" i="4"/>
  <c r="I3" i="3" s="1"/>
  <c r="J32" i="4"/>
  <c r="I36"/>
  <c r="J36"/>
  <c r="J40"/>
  <c r="J41"/>
  <c r="J42"/>
  <c r="J43"/>
  <c r="I45"/>
  <c r="G7" i="3" s="1"/>
  <c r="J54" i="4"/>
  <c r="J63"/>
  <c r="H8" i="3" s="1"/>
  <c r="I63" i="4"/>
  <c r="G8" i="3" s="1"/>
  <c r="K63" i="4"/>
  <c r="I77"/>
  <c r="G11" i="3" s="1"/>
  <c r="J77" i="4"/>
  <c r="H11" i="3" s="1"/>
  <c r="K77" i="4"/>
  <c r="J105"/>
  <c r="H10" i="3" s="1"/>
  <c r="I107" i="4"/>
  <c r="C60" i="29" s="1"/>
  <c r="K107" i="4"/>
  <c r="E60" i="29" s="1"/>
  <c r="J7" i="4"/>
  <c r="J45"/>
  <c r="F63" i="15"/>
  <c r="C46" i="29" s="1"/>
  <c r="C20" s="1"/>
  <c r="G98" i="3"/>
  <c r="H91"/>
  <c r="G16" i="21"/>
  <c r="D41" i="29" s="1"/>
  <c r="G20" i="3"/>
  <c r="H16" i="21"/>
  <c r="E41" i="29" s="1"/>
  <c r="H45" i="17"/>
  <c r="H62" s="1"/>
  <c r="H91" s="1"/>
  <c r="I22" i="3"/>
  <c r="I259"/>
  <c r="I197"/>
  <c r="I98"/>
  <c r="H18" i="21"/>
  <c r="I255" i="3"/>
  <c r="G22" i="13"/>
  <c r="H256" i="3" s="1"/>
  <c r="I204"/>
  <c r="I203"/>
  <c r="I202"/>
  <c r="G240"/>
  <c r="G11" i="16"/>
  <c r="G40"/>
  <c r="I194" i="3"/>
  <c r="G15"/>
  <c r="F17" i="19"/>
  <c r="C38" i="29" s="1"/>
  <c r="C12" s="1"/>
  <c r="F28" i="19"/>
  <c r="H37" i="3"/>
  <c r="G13"/>
  <c r="F19" i="6"/>
  <c r="C37" i="29" s="1"/>
  <c r="H26" i="4"/>
  <c r="F30" i="8"/>
  <c r="I187" i="3"/>
  <c r="H20" i="18"/>
  <c r="H34" s="1"/>
  <c r="H77" i="4"/>
  <c r="G194" i="3"/>
  <c r="G103" i="16"/>
  <c r="I12" i="3"/>
  <c r="H19" i="6"/>
  <c r="E37" i="29" s="1"/>
  <c r="I10" i="4"/>
  <c r="H14"/>
  <c r="H12" i="7"/>
  <c r="F91" i="4"/>
  <c r="F109"/>
  <c r="I108" i="3"/>
  <c r="G106"/>
  <c r="E43" i="8"/>
  <c r="C47" i="29" s="1"/>
  <c r="C21" s="1"/>
  <c r="I105" i="3"/>
  <c r="G43" i="8"/>
  <c r="G45" s="1"/>
  <c r="I207" i="3"/>
  <c r="G20" i="20"/>
  <c r="D40" i="29" s="1"/>
  <c r="G17" i="6"/>
  <c r="H13" i="3" s="1"/>
  <c r="F62" i="17"/>
  <c r="I189" i="3"/>
  <c r="H22" i="20"/>
  <c r="I14" i="4"/>
  <c r="I79" s="1"/>
  <c r="J10"/>
  <c r="H107" i="3"/>
  <c r="H195"/>
  <c r="G22" i="20"/>
  <c r="I18" i="3"/>
  <c r="H33" i="6"/>
  <c r="H192" i="3"/>
  <c r="H204"/>
  <c r="G2"/>
  <c r="I251"/>
  <c r="F46" i="25"/>
  <c r="C52" i="29" s="1"/>
  <c r="G15" i="24"/>
  <c r="H48" i="3"/>
  <c r="G19" i="24"/>
  <c r="H67" i="3"/>
  <c r="G92" i="24"/>
  <c r="G78"/>
  <c r="H57" i="3" s="1"/>
  <c r="H50"/>
  <c r="G138" i="24"/>
  <c r="G108"/>
  <c r="H59" i="3" s="1"/>
  <c r="H43"/>
  <c r="G112" i="24"/>
  <c r="H60" i="3" s="1"/>
  <c r="H69"/>
  <c r="G33" i="24"/>
  <c r="H42" i="3" s="1"/>
  <c r="G133" i="24"/>
  <c r="H61" i="3" s="1"/>
  <c r="G67" i="24"/>
  <c r="H56" i="3" s="1"/>
  <c r="H46"/>
  <c r="G61"/>
  <c r="H71"/>
  <c r="I60"/>
  <c r="H39"/>
  <c r="H40"/>
  <c r="F139" i="24"/>
  <c r="G59" i="3"/>
  <c r="G33" i="13"/>
  <c r="H259" i="3" s="1"/>
  <c r="G39" i="13"/>
  <c r="H261" i="3" s="1"/>
  <c r="H202"/>
  <c r="H197"/>
  <c r="H201"/>
  <c r="G19" i="16"/>
  <c r="H193" i="3" s="1"/>
  <c r="F25" i="9"/>
  <c r="G110" i="3" s="1"/>
  <c r="H98"/>
  <c r="F75" i="15"/>
  <c r="C72" i="29" l="1"/>
  <c r="H37" i="12"/>
  <c r="F22" i="20"/>
  <c r="H63" i="15"/>
  <c r="H54" i="23"/>
  <c r="H17" i="19"/>
  <c r="H28" s="1"/>
  <c r="I15" i="3"/>
  <c r="H59" i="22"/>
  <c r="F59"/>
  <c r="H268" i="3"/>
  <c r="G255"/>
  <c r="F47" i="13"/>
  <c r="C53" i="29" s="1"/>
  <c r="G47" i="13"/>
  <c r="H255" i="3"/>
  <c r="H47" i="13"/>
  <c r="G46" i="25"/>
  <c r="D52" i="29" s="1"/>
  <c r="H250" i="3"/>
  <c r="H246"/>
  <c r="G50" i="12"/>
  <c r="D75" i="29" s="1"/>
  <c r="H240" i="3"/>
  <c r="G37" i="12"/>
  <c r="F37"/>
  <c r="C51" i="29" s="1"/>
  <c r="G192" i="3"/>
  <c r="F134" i="16"/>
  <c r="C50" i="29" s="1"/>
  <c r="E74"/>
  <c r="G74"/>
  <c r="H134" i="16"/>
  <c r="G128"/>
  <c r="H207" i="3" s="1"/>
  <c r="H139" i="24"/>
  <c r="H163" s="1"/>
  <c r="E45" i="29" s="1"/>
  <c r="H25" i="3"/>
  <c r="G62" i="17"/>
  <c r="H19" i="3"/>
  <c r="F12" i="7"/>
  <c r="G18" i="3" s="1"/>
  <c r="F33" i="6"/>
  <c r="G19"/>
  <c r="I2" i="3"/>
  <c r="K79" i="4"/>
  <c r="C26" i="29"/>
  <c r="C11"/>
  <c r="C25"/>
  <c r="G39" i="3"/>
  <c r="F163" i="24"/>
  <c r="C45" i="29" s="1"/>
  <c r="C19" s="1"/>
  <c r="I39" i="3"/>
  <c r="H252"/>
  <c r="H7"/>
  <c r="H6"/>
  <c r="G5"/>
  <c r="H5"/>
  <c r="H4"/>
  <c r="H74"/>
  <c r="H66" i="29"/>
  <c r="D66"/>
  <c r="C66"/>
  <c r="E38"/>
  <c r="F38"/>
  <c r="G159" i="16"/>
  <c r="I25" i="3"/>
  <c r="E67" i="29"/>
  <c r="E43"/>
  <c r="E17" s="1"/>
  <c r="I26" i="3"/>
  <c r="G37"/>
  <c r="C68" i="29"/>
  <c r="C18" s="1"/>
  <c r="G29" i="22"/>
  <c r="E66" i="29"/>
  <c r="I42" i="3"/>
  <c r="G139" i="24"/>
  <c r="E15" i="29"/>
  <c r="E14"/>
  <c r="E11"/>
  <c r="E13"/>
  <c r="E12"/>
  <c r="C42"/>
  <c r="C16" s="1"/>
  <c r="G21" i="3"/>
  <c r="H25" i="9"/>
  <c r="I110" i="3" s="1"/>
  <c r="H120"/>
  <c r="G120"/>
  <c r="E49" i="29"/>
  <c r="I188" i="3"/>
  <c r="D77" i="29"/>
  <c r="G215" i="3"/>
  <c r="H215"/>
  <c r="D53" i="29"/>
  <c r="G268" i="3"/>
  <c r="I256"/>
  <c r="G43" i="22"/>
  <c r="G59" s="1"/>
  <c r="K109" i="4"/>
  <c r="I8" i="3"/>
  <c r="G114" i="16"/>
  <c r="H206" i="3" s="1"/>
  <c r="G111" i="16"/>
  <c r="H205" i="3" s="1"/>
  <c r="G65" i="16"/>
  <c r="H198" i="3" s="1"/>
  <c r="G152" i="16"/>
  <c r="H216" i="3" s="1"/>
  <c r="H222"/>
  <c r="I193"/>
  <c r="I215"/>
  <c r="I216"/>
  <c r="I237"/>
  <c r="G189" i="16"/>
  <c r="H228" i="3" s="1"/>
  <c r="I199"/>
  <c r="E50" i="29"/>
  <c r="H208" i="3"/>
  <c r="H218"/>
  <c r="G199" i="16"/>
  <c r="I192" i="3"/>
  <c r="I205"/>
  <c r="I217"/>
  <c r="I227"/>
  <c r="I229"/>
  <c r="I37"/>
  <c r="I38"/>
  <c r="E44" i="29"/>
  <c r="G21" i="9"/>
  <c r="G25" s="1"/>
  <c r="H110" i="3" s="1"/>
  <c r="H131"/>
  <c r="H139"/>
  <c r="H147"/>
  <c r="H148"/>
  <c r="H149"/>
  <c r="H159"/>
  <c r="H173"/>
  <c r="I109"/>
  <c r="I183"/>
  <c r="H112"/>
  <c r="H135"/>
  <c r="H165"/>
  <c r="H171"/>
  <c r="I136"/>
  <c r="I181"/>
  <c r="I121"/>
  <c r="I120"/>
  <c r="E52" i="29"/>
  <c r="G59" i="25"/>
  <c r="E47" i="29"/>
  <c r="I106" i="3"/>
  <c r="F21" i="8"/>
  <c r="F41"/>
  <c r="H108" i="3" s="1"/>
  <c r="I107"/>
  <c r="H96"/>
  <c r="H90"/>
  <c r="H94"/>
  <c r="G20" i="15"/>
  <c r="I97" i="3"/>
  <c r="I99"/>
  <c r="I100"/>
  <c r="I102"/>
  <c r="I57"/>
  <c r="I59"/>
  <c r="G22" i="24"/>
  <c r="H41" i="3" s="1"/>
  <c r="H80"/>
  <c r="I56"/>
  <c r="I58"/>
  <c r="J14" i="4"/>
  <c r="J79" s="1"/>
  <c r="J107"/>
  <c r="D60" i="29" s="1"/>
  <c r="H63" i="4"/>
  <c r="I11" i="3"/>
  <c r="I21"/>
  <c r="E42" i="29"/>
  <c r="F87" i="22"/>
  <c r="G29" i="3"/>
  <c r="C43" i="29"/>
  <c r="C17" s="1"/>
  <c r="F91" i="17"/>
  <c r="H241" i="3"/>
  <c r="C36" i="29"/>
  <c r="I109" i="4"/>
  <c r="D37" i="29"/>
  <c r="G33" i="6"/>
  <c r="D26" i="29"/>
  <c r="D14"/>
  <c r="E36"/>
  <c r="F27" i="9"/>
  <c r="H64" i="3"/>
  <c r="H58"/>
  <c r="F59" i="25"/>
  <c r="H2" i="3"/>
  <c r="G25"/>
  <c r="E45" i="8"/>
  <c r="H87" i="22"/>
  <c r="G18" i="21"/>
  <c r="F56" i="23"/>
  <c r="J26" i="4"/>
  <c r="H3" i="3" s="1"/>
  <c r="G12" i="7"/>
  <c r="D15" i="29"/>
  <c r="D13"/>
  <c r="H223" i="3"/>
  <c r="H237"/>
  <c r="C41" i="29"/>
  <c r="C15" s="1"/>
  <c r="F18" i="21"/>
  <c r="G30" i="23"/>
  <c r="G56" s="1"/>
  <c r="I19" i="3"/>
  <c r="I228"/>
  <c r="G33" i="16"/>
  <c r="F20" i="18"/>
  <c r="G17" i="19"/>
  <c r="G19" i="3"/>
  <c r="F52" i="12" l="1"/>
  <c r="E51" i="29"/>
  <c r="E25" s="1"/>
  <c r="H52" i="12"/>
  <c r="G134" i="16"/>
  <c r="F176" i="24"/>
  <c r="E46" i="29"/>
  <c r="E20" s="1"/>
  <c r="H75" i="15"/>
  <c r="H56" i="23"/>
  <c r="F12" i="29"/>
  <c r="F29" s="1"/>
  <c r="F55"/>
  <c r="G27" i="9"/>
  <c r="H27"/>
  <c r="E48" i="29" s="1"/>
  <c r="D43"/>
  <c r="D17" s="1"/>
  <c r="G91" i="17"/>
  <c r="G307" i="3"/>
  <c r="G63" i="15"/>
  <c r="G163" i="24"/>
  <c r="D45" i="29" s="1"/>
  <c r="E77"/>
  <c r="G77"/>
  <c r="G79" s="1"/>
  <c r="E16"/>
  <c r="E19"/>
  <c r="E21"/>
  <c r="E23"/>
  <c r="D72"/>
  <c r="H176" i="24"/>
  <c r="H189" i="3"/>
  <c r="G20" i="18"/>
  <c r="E53" i="29"/>
  <c r="D27"/>
  <c r="G106" i="13"/>
  <c r="C77" i="29"/>
  <c r="C27" s="1"/>
  <c r="F106" i="13"/>
  <c r="H106"/>
  <c r="H21" i="3"/>
  <c r="C74" i="29"/>
  <c r="C24" s="1"/>
  <c r="F205" i="16"/>
  <c r="H221" i="3"/>
  <c r="H105"/>
  <c r="F43" i="8"/>
  <c r="H97" i="3"/>
  <c r="H194"/>
  <c r="C49" i="29"/>
  <c r="C23" s="1"/>
  <c r="F34" i="18"/>
  <c r="F125" i="9"/>
  <c r="C48" i="29"/>
  <c r="C22" s="1"/>
  <c r="E10"/>
  <c r="D11"/>
  <c r="C10"/>
  <c r="D51"/>
  <c r="G52" i="12"/>
  <c r="D38" i="29"/>
  <c r="G28" i="19"/>
  <c r="H227" i="3"/>
  <c r="H29"/>
  <c r="D44" i="29"/>
  <c r="H18" i="3"/>
  <c r="J309" l="1"/>
  <c r="J311" s="1"/>
  <c r="F103" i="33"/>
  <c r="F93" s="1"/>
  <c r="F94" s="1"/>
  <c r="G176" i="24"/>
  <c r="H307" i="3"/>
  <c r="E72" i="29"/>
  <c r="C79"/>
  <c r="E55"/>
  <c r="E27"/>
  <c r="H125" i="9"/>
  <c r="D49" i="29"/>
  <c r="G34" i="18"/>
  <c r="D42" i="29"/>
  <c r="G87" i="22"/>
  <c r="H205" i="16"/>
  <c r="C55" i="29"/>
  <c r="D48"/>
  <c r="G125" i="9"/>
  <c r="C29" i="29"/>
  <c r="G309" i="3" s="1"/>
  <c r="G311" s="1"/>
  <c r="D47" i="29"/>
  <c r="F45" i="8"/>
  <c r="D46" i="29"/>
  <c r="G75" i="15"/>
  <c r="D74" i="29"/>
  <c r="D36"/>
  <c r="J109" i="4"/>
  <c r="D19" i="29"/>
  <c r="D18"/>
  <c r="D12"/>
  <c r="D25"/>
  <c r="D50"/>
  <c r="G205" i="16"/>
  <c r="L21" i="35" l="1"/>
  <c r="D46" i="30"/>
  <c r="E24" i="29"/>
  <c r="E22"/>
  <c r="D23"/>
  <c r="D16"/>
  <c r="D22"/>
  <c r="D21"/>
  <c r="D20"/>
  <c r="D10"/>
  <c r="D55"/>
  <c r="D79"/>
  <c r="D24"/>
  <c r="O21" i="35" l="1"/>
  <c r="D29" i="29"/>
  <c r="I254" i="3"/>
  <c r="H57" i="25"/>
  <c r="H59" s="1"/>
  <c r="E76" i="29" l="1"/>
  <c r="P21" i="35"/>
  <c r="P29" s="1"/>
  <c r="P34" s="1"/>
  <c r="P35" s="1"/>
  <c r="O29"/>
  <c r="O34" s="1"/>
  <c r="O35" s="1"/>
  <c r="E26" i="29"/>
  <c r="H309" i="3"/>
  <c r="H311" s="1"/>
  <c r="I307"/>
  <c r="E68" i="29" l="1"/>
  <c r="E79" l="1"/>
  <c r="E18"/>
  <c r="E29" s="1"/>
  <c r="D47" i="30" l="1"/>
  <c r="D48" s="1"/>
  <c r="D38" s="1"/>
  <c r="L24" i="35"/>
  <c r="L34" s="1"/>
  <c r="L35" s="1"/>
  <c r="L36" s="1"/>
  <c r="I309" i="3"/>
  <c r="I311" s="1"/>
  <c r="E103" i="33"/>
  <c r="E93" s="1"/>
  <c r="E94" s="1"/>
  <c r="D41" i="30" l="1"/>
  <c r="D39"/>
  <c r="L39" i="35"/>
  <c r="O36"/>
  <c r="O39" l="1"/>
  <c r="P4"/>
  <c r="P36" s="1"/>
  <c r="P39" s="1"/>
</calcChain>
</file>

<file path=xl/comments1.xml><?xml version="1.0" encoding="utf-8"?>
<comments xmlns="http://schemas.openxmlformats.org/spreadsheetml/2006/main">
  <authors>
    <author>Kastner Kamil</author>
    <author>oriabinec</author>
  </authors>
  <commentList>
    <comment ref="R14" authorId="0">
      <text>
        <r>
          <rPr>
            <b/>
            <sz val="8"/>
            <color indexed="81"/>
            <rFont val="Tahoma"/>
            <family val="2"/>
            <charset val="238"/>
          </rPr>
          <t>Kastner Kamil:</t>
        </r>
        <r>
          <rPr>
            <sz val="8"/>
            <color indexed="81"/>
            <rFont val="Tahoma"/>
            <family val="2"/>
            <charset val="238"/>
          </rPr>
          <t xml:space="preserve">
jen v zásobníku</t>
        </r>
      </text>
    </comment>
    <comment ref="O23" authorId="1">
      <text>
        <r>
          <rPr>
            <b/>
            <sz val="8"/>
            <color indexed="81"/>
            <rFont val="Tahoma"/>
            <family val="2"/>
            <charset val="238"/>
          </rPr>
          <t>oriabinec:</t>
        </r>
        <r>
          <rPr>
            <sz val="8"/>
            <color indexed="81"/>
            <rFont val="Tahoma"/>
            <family val="2"/>
            <charset val="238"/>
          </rPr>
          <t xml:space="preserve">
27 200 z r. 2012</t>
        </r>
      </text>
    </comment>
    <comment ref="O24" authorId="0">
      <text>
        <r>
          <rPr>
            <b/>
            <sz val="8"/>
            <color indexed="81"/>
            <rFont val="Tahoma"/>
            <family val="2"/>
            <charset val="238"/>
          </rPr>
          <t>Kastner Kamil:</t>
        </r>
        <r>
          <rPr>
            <sz val="8"/>
            <color indexed="81"/>
            <rFont val="Tahoma"/>
            <family val="2"/>
            <charset val="238"/>
          </rPr>
          <t xml:space="preserve">
85% ze základu daně
45 000 z r. 2012</t>
        </r>
      </text>
    </comment>
  </commentList>
</comments>
</file>

<file path=xl/comments2.xml><?xml version="1.0" encoding="utf-8"?>
<comments xmlns="http://schemas.openxmlformats.org/spreadsheetml/2006/main">
  <authors>
    <author>Kastner Kamil</author>
    <author>oriabinec</author>
  </authors>
  <commentList>
    <comment ref="D7" authorId="0">
      <text>
        <r>
          <rPr>
            <b/>
            <sz val="8"/>
            <color indexed="81"/>
            <rFont val="Tahoma"/>
            <family val="2"/>
            <charset val="238"/>
          </rPr>
          <t>Kastner Kamil:</t>
        </r>
        <r>
          <rPr>
            <sz val="8"/>
            <color indexed="81"/>
            <rFont val="Tahoma"/>
            <family val="2"/>
            <charset val="238"/>
          </rPr>
          <t xml:space="preserve">
dle podkladů MF pro SR
</t>
        </r>
      </text>
    </comment>
    <comment ref="D8" authorId="0">
      <text>
        <r>
          <rPr>
            <b/>
            <sz val="8"/>
            <color indexed="81"/>
            <rFont val="Tahoma"/>
            <family val="2"/>
            <charset val="238"/>
          </rPr>
          <t>Kastner Kamil:</t>
        </r>
        <r>
          <rPr>
            <sz val="8"/>
            <color indexed="81"/>
            <rFont val="Tahoma"/>
            <family val="2"/>
            <charset val="238"/>
          </rPr>
          <t xml:space="preserve">
dle podkladů MF pro SR
</t>
        </r>
      </text>
    </comment>
    <comment ref="D12" authorId="0">
      <text>
        <r>
          <rPr>
            <b/>
            <sz val="8"/>
            <color indexed="81"/>
            <rFont val="Tahoma"/>
            <family val="2"/>
            <charset val="238"/>
          </rPr>
          <t>Kastner Kamil:</t>
        </r>
        <r>
          <rPr>
            <sz val="8"/>
            <color indexed="81"/>
            <rFont val="Tahoma"/>
            <family val="2"/>
            <charset val="238"/>
          </rPr>
          <t xml:space="preserve">
dle podkladů MF pro SR
</t>
        </r>
      </text>
    </comment>
    <comment ref="D27" authorId="0">
      <text>
        <r>
          <rPr>
            <b/>
            <sz val="8"/>
            <color indexed="81"/>
            <rFont val="Tahoma"/>
            <family val="2"/>
            <charset val="238"/>
          </rPr>
          <t>Kastner Kamil:</t>
        </r>
        <r>
          <rPr>
            <sz val="8"/>
            <color indexed="81"/>
            <rFont val="Tahoma"/>
            <family val="2"/>
            <charset val="238"/>
          </rPr>
          <t xml:space="preserve">
dle podkladů MF pro SR
</t>
        </r>
      </text>
    </comment>
    <comment ref="E62" authorId="1">
      <text>
        <r>
          <rPr>
            <b/>
            <sz val="8"/>
            <color indexed="81"/>
            <rFont val="Tahoma"/>
            <family val="2"/>
            <charset val="238"/>
          </rPr>
          <t>20 000 tis.Kč  BD pozemky/Vyhlídka
30 000tis. Kč - prodej pozemků/Mozartova, Gejzír</t>
        </r>
      </text>
    </comment>
    <comment ref="E64" authorId="1">
      <text>
        <r>
          <rPr>
            <b/>
            <sz val="8"/>
            <color indexed="81"/>
            <rFont val="Tahoma"/>
            <family val="2"/>
            <charset val="238"/>
          </rPr>
          <t>oriabinec:</t>
        </r>
        <r>
          <rPr>
            <sz val="8"/>
            <color indexed="81"/>
            <rFont val="Tahoma"/>
            <family val="2"/>
            <charset val="238"/>
          </rPr>
          <t xml:space="preserve">
70 000 tis.Kč  -  I.P.Pavlova
14 000 tis. Kč - Myslbekova 4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B14" author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spíše 4351
</t>
        </r>
      </text>
    </comment>
  </commentList>
</comments>
</file>

<file path=xl/comments4.xml><?xml version="1.0" encoding="utf-8"?>
<comments xmlns="http://schemas.openxmlformats.org/spreadsheetml/2006/main">
  <authors>
    <author>smutná</author>
  </authors>
  <commentList>
    <comment ref="I17" authorId="0">
      <text>
        <r>
          <rPr>
            <b/>
            <sz val="8"/>
            <color indexed="81"/>
            <rFont val="Tahoma"/>
            <family val="2"/>
            <charset val="238"/>
          </rPr>
          <t>smutná:</t>
        </r>
        <r>
          <rPr>
            <sz val="8"/>
            <color indexed="81"/>
            <rFont val="Tahoma"/>
            <family val="2"/>
            <charset val="238"/>
          </rPr>
          <t xml:space="preserve">
oplocení areálu SK Liapor Doubí</t>
        </r>
      </text>
    </comment>
    <comment ref="I28" authorId="0">
      <text>
        <r>
          <rPr>
            <b/>
            <sz val="8"/>
            <color indexed="81"/>
            <rFont val="Tahoma"/>
            <family val="2"/>
            <charset val="238"/>
          </rPr>
          <t>smutná:</t>
        </r>
        <r>
          <rPr>
            <sz val="8"/>
            <color indexed="81"/>
            <rFont val="Tahoma"/>
            <family val="2"/>
            <charset val="238"/>
          </rPr>
          <t xml:space="preserve">
7.400 - demolice garáží Jabloňova</t>
        </r>
      </text>
    </comment>
  </commentList>
</comments>
</file>

<file path=xl/comments5.xml><?xml version="1.0" encoding="utf-8"?>
<comments xmlns="http://schemas.openxmlformats.org/spreadsheetml/2006/main">
  <authors>
    <author>smutná</author>
  </authors>
  <commentList>
    <comment ref="E19" authorId="0">
      <text>
        <r>
          <rPr>
            <b/>
            <sz val="8"/>
            <color indexed="81"/>
            <rFont val="Tahoma"/>
            <family val="2"/>
            <charset val="238"/>
          </rPr>
          <t>smutná:</t>
        </r>
        <r>
          <rPr>
            <sz val="8"/>
            <color indexed="81"/>
            <rFont val="Tahoma"/>
            <family val="2"/>
            <charset val="238"/>
          </rPr>
          <t xml:space="preserve">
automat</t>
        </r>
      </text>
    </comment>
    <comment ref="E20" authorId="0">
      <text>
        <r>
          <rPr>
            <b/>
            <sz val="8"/>
            <color indexed="81"/>
            <rFont val="Tahoma"/>
            <family val="2"/>
            <charset val="238"/>
          </rPr>
          <t>smutná:</t>
        </r>
        <r>
          <rPr>
            <sz val="8"/>
            <color indexed="81"/>
            <rFont val="Tahoma"/>
            <family val="2"/>
            <charset val="238"/>
          </rPr>
          <t xml:space="preserve">
automat</t>
        </r>
      </text>
    </comment>
    <comment ref="E25" authorId="0">
      <text>
        <r>
          <rPr>
            <b/>
            <sz val="8"/>
            <color indexed="81"/>
            <rFont val="Tahoma"/>
            <family val="2"/>
            <charset val="238"/>
          </rPr>
          <t>smutná:</t>
        </r>
        <r>
          <rPr>
            <sz val="8"/>
            <color indexed="81"/>
            <rFont val="Tahoma"/>
            <family val="2"/>
            <charset val="238"/>
          </rPr>
          <t xml:space="preserve">
z toho 4 tis. na automat - poplatky za správu</t>
        </r>
      </text>
    </comment>
  </commentList>
</comments>
</file>

<file path=xl/sharedStrings.xml><?xml version="1.0" encoding="utf-8"?>
<sst xmlns="http://schemas.openxmlformats.org/spreadsheetml/2006/main" count="4333" uniqueCount="1543">
  <si>
    <t>01</t>
  </si>
  <si>
    <t>Odbor kancelář tajemníka</t>
  </si>
  <si>
    <t>02</t>
  </si>
  <si>
    <t>Odbor životního prostředí</t>
  </si>
  <si>
    <t>10</t>
  </si>
  <si>
    <t>Odbor dopravy</t>
  </si>
  <si>
    <t>12</t>
  </si>
  <si>
    <t>Oddělení památkové péče</t>
  </si>
  <si>
    <t>Právní odbor</t>
  </si>
  <si>
    <t>19</t>
  </si>
  <si>
    <t>Odbor vnitřních věcí</t>
  </si>
  <si>
    <t>20</t>
  </si>
  <si>
    <t>Městská policie</t>
  </si>
  <si>
    <t>21</t>
  </si>
  <si>
    <t>Odbor informačních technologií</t>
  </si>
  <si>
    <t>25</t>
  </si>
  <si>
    <t>28</t>
  </si>
  <si>
    <t>Odbor sociálních věcí</t>
  </si>
  <si>
    <t>34</t>
  </si>
  <si>
    <t>35</t>
  </si>
  <si>
    <t>Odbor rozvoje a investic</t>
  </si>
  <si>
    <t>37</t>
  </si>
  <si>
    <t>39</t>
  </si>
  <si>
    <t>Odbor majetku města</t>
  </si>
  <si>
    <t>41</t>
  </si>
  <si>
    <t>Odbor financí a ekonomiky</t>
  </si>
  <si>
    <t>43</t>
  </si>
  <si>
    <t>Odbor kanceláře primátora</t>
  </si>
  <si>
    <t>70</t>
  </si>
  <si>
    <t>Odbor technický</t>
  </si>
  <si>
    <t>BĚŽNÉ VÝDAJE CELKEM</t>
  </si>
  <si>
    <t>VÝDAJE OKT CELKEM</t>
  </si>
  <si>
    <t>KAPITÁLOVÉ VÝDAJE CELKEM</t>
  </si>
  <si>
    <t>investiční transfer HZS</t>
  </si>
  <si>
    <t>0277</t>
  </si>
  <si>
    <t>6339</t>
  </si>
  <si>
    <t>5511</t>
  </si>
  <si>
    <t>2011</t>
  </si>
  <si>
    <t>text</t>
  </si>
  <si>
    <t>rozpočet</t>
  </si>
  <si>
    <t>ORG</t>
  </si>
  <si>
    <t>POL</t>
  </si>
  <si>
    <t>ODPA</t>
  </si>
  <si>
    <t>Upravený rozpočet 2013</t>
  </si>
  <si>
    <t>Schválený rozpočet 2013</t>
  </si>
  <si>
    <t>Upravený rozpočet I.pol 2012</t>
  </si>
  <si>
    <t>Schválený rozpočet 2012</t>
  </si>
  <si>
    <t>Upravený</t>
  </si>
  <si>
    <t>NÁVRH rozpočtu 2012</t>
  </si>
  <si>
    <t xml:space="preserve">opatření pro krizové stavy, ochrana obyvatel </t>
  </si>
  <si>
    <t>nákup materiálu</t>
  </si>
  <si>
    <t>5139</t>
  </si>
  <si>
    <t>6171</t>
  </si>
  <si>
    <t>opravy a udržování</t>
  </si>
  <si>
    <t>5171</t>
  </si>
  <si>
    <t>ostatní služby</t>
  </si>
  <si>
    <t>5169</t>
  </si>
  <si>
    <t>neinv.transfery obcím - povodně 2013</t>
  </si>
  <si>
    <t>5321</t>
  </si>
  <si>
    <t>5269</t>
  </si>
  <si>
    <t>krizové stavy - zák. rezerva (zák. 240/2000 Sb.)</t>
  </si>
  <si>
    <t>4310</t>
  </si>
  <si>
    <t>služby telekomunikací a radiokomunikací</t>
  </si>
  <si>
    <t xml:space="preserve">nákup materiálu  </t>
  </si>
  <si>
    <t>nákup techniky na odstraňování povod.škod pro postižené obce</t>
  </si>
  <si>
    <t>5137</t>
  </si>
  <si>
    <t>Bezp.rada města-drobný hmotný dlouh.maj.</t>
  </si>
  <si>
    <t>knihy, tisk</t>
  </si>
  <si>
    <t>Bezp.rada města,  KŠT - ochranné pomůcky</t>
  </si>
  <si>
    <t>kryty - PHM</t>
  </si>
  <si>
    <t>údržba krytů</t>
  </si>
  <si>
    <t xml:space="preserve">neinv. transfer Hasičskému záchran. sboru </t>
  </si>
  <si>
    <t>5319</t>
  </si>
  <si>
    <t>požární ochrana - dobrovolné hasičské sbory</t>
  </si>
  <si>
    <t>0280</t>
  </si>
  <si>
    <t>5167</t>
  </si>
  <si>
    <t>drobný hm. dlouhodobý majetek - St. Role</t>
  </si>
  <si>
    <t>5512</t>
  </si>
  <si>
    <t>prádlo, oděv, obuv-ochran. pomůcky - St. Role</t>
  </si>
  <si>
    <t>5132</t>
  </si>
  <si>
    <t>platby daní a poplatků krajům,obcím a ost. fondům</t>
  </si>
  <si>
    <t>0274</t>
  </si>
  <si>
    <t>5365</t>
  </si>
  <si>
    <t xml:space="preserve">nákup ostatních služeb </t>
  </si>
  <si>
    <t>komerční pojištění</t>
  </si>
  <si>
    <t>5163</t>
  </si>
  <si>
    <t>pohonné hmoty a maziva</t>
  </si>
  <si>
    <t>elektrická energie</t>
  </si>
  <si>
    <t>plyn</t>
  </si>
  <si>
    <t>studená voda</t>
  </si>
  <si>
    <t>nákup materiálu jinde nezařazeného</t>
  </si>
  <si>
    <t>drobný hmotný dlouhodobý majetek</t>
  </si>
  <si>
    <t>prádlo, oděv, obuv-ochranné pomůcky</t>
  </si>
  <si>
    <t>ostatní pojistné</t>
  </si>
  <si>
    <t>Příspěvek na koordinátory veřejné služby  (UZ 13234)</t>
  </si>
  <si>
    <t>náhrady mezd v době nemoci</t>
  </si>
  <si>
    <t>0001</t>
  </si>
  <si>
    <t>přísp.na povinné pojištění - veřejné zdravotní pojištění</t>
  </si>
  <si>
    <t>přísp.na povinné pojištění - sociální zabezpečení</t>
  </si>
  <si>
    <t>příspěvek na platy koordinátorů</t>
  </si>
  <si>
    <t>Příspěvek na koordinátory veřejné služby  (UZ 13101)</t>
  </si>
  <si>
    <t>povinné pojištění - veřejné zdravotní pojištění</t>
  </si>
  <si>
    <t>povinné pojištění - sociální zabezpečení</t>
  </si>
  <si>
    <t>platy zaměstnanců</t>
  </si>
  <si>
    <t>agenda sociálně právní ochrany dětí (UZ 13011)</t>
  </si>
  <si>
    <t>x</t>
  </si>
  <si>
    <t>služby školení a vzdělávání</t>
  </si>
  <si>
    <t xml:space="preserve"> platy zaměstnanců a výdaje související </t>
  </si>
  <si>
    <t>plnění povin. podílu os. se zdrav. postižením</t>
  </si>
  <si>
    <t>ošatné</t>
  </si>
  <si>
    <t>účastnické poplatky z konferencí</t>
  </si>
  <si>
    <t>ostatní povinné pojištění</t>
  </si>
  <si>
    <t>odstupné</t>
  </si>
  <si>
    <t>ostatní osobní výdaje</t>
  </si>
  <si>
    <t>místní zastupitelské orgány</t>
  </si>
  <si>
    <t>ostatní nákupy jinde nezařazené</t>
  </si>
  <si>
    <t>cestovné</t>
  </si>
  <si>
    <t>povinné pojištění - zdravotní pojištění</t>
  </si>
  <si>
    <t>odměny členů zastupitelstev obcí</t>
  </si>
  <si>
    <t>odměny čl. komisí a výborů RM, ZM (nezastup.)</t>
  </si>
  <si>
    <t>ID</t>
  </si>
  <si>
    <t>v tis.Kč</t>
  </si>
  <si>
    <t>3xxx</t>
  </si>
  <si>
    <t>ORJ</t>
  </si>
  <si>
    <t>BV/KV</t>
  </si>
  <si>
    <t>veřejná správa a služby</t>
  </si>
  <si>
    <t>BV</t>
  </si>
  <si>
    <t>0001,1002</t>
  </si>
  <si>
    <t>platy zaměstnanců a výdaje související</t>
  </si>
  <si>
    <t>agenda sociálně právní ochrany dětí (ÚZ 13011)</t>
  </si>
  <si>
    <t>výkon jednotných kontaktních míst (ÚZ 22005)</t>
  </si>
  <si>
    <t>příspěvek na koordinátory VS (ÚZ 13101)</t>
  </si>
  <si>
    <t>příspěvek na koordinátory VS (ÚZ 13234)</t>
  </si>
  <si>
    <t>požární ochrana - DHS</t>
  </si>
  <si>
    <t>neinv.tr. - Hasičský záchranný sbor</t>
  </si>
  <si>
    <t>opatření pro krizové stavy, ochrana obyvatel</t>
  </si>
  <si>
    <t>KV</t>
  </si>
  <si>
    <t>inv.tr. - Hasičský záchranný sbor</t>
  </si>
  <si>
    <t>0274,0280</t>
  </si>
  <si>
    <t>52xx</t>
  </si>
  <si>
    <t>bezpečnost a ochrana</t>
  </si>
  <si>
    <t>0225</t>
  </si>
  <si>
    <t>VKP, údržba zeleně, údržba památných stromů</t>
  </si>
  <si>
    <t>-</t>
  </si>
  <si>
    <t>3741</t>
  </si>
  <si>
    <t>jarní tah žab - materiál</t>
  </si>
  <si>
    <t>jarní tah žab - služby</t>
  </si>
  <si>
    <t>3716</t>
  </si>
  <si>
    <t>imisní monitorovací stanice *</t>
  </si>
  <si>
    <t>3721</t>
  </si>
  <si>
    <t>odstranění nebezpečného odpadu</t>
  </si>
  <si>
    <t>1036</t>
  </si>
  <si>
    <t>5213</t>
  </si>
  <si>
    <t>neinv.transf.-meliorační a zpev.dřeviny(UZ 29004)</t>
  </si>
  <si>
    <t>neinv.transf. - lesní hospodáři (UZ 29008)</t>
  </si>
  <si>
    <t>ostatní činnost OŽP</t>
  </si>
  <si>
    <t>materiál</t>
  </si>
  <si>
    <t>5901</t>
  </si>
  <si>
    <t>výdaje z EKOFONDU (dle statutu EKOFONDU)</t>
  </si>
  <si>
    <r>
      <t xml:space="preserve">výdaje z EKOFONDU </t>
    </r>
    <r>
      <rPr>
        <b/>
        <i/>
        <sz val="10"/>
        <color indexed="8"/>
        <rFont val="Calibri"/>
        <family val="2"/>
        <charset val="238"/>
      </rPr>
      <t>(dle statutu EKOFONDU)</t>
    </r>
  </si>
  <si>
    <t>6122</t>
  </si>
  <si>
    <t>imisní monitorovací stanice</t>
  </si>
  <si>
    <t>VÝDAJE OŽP CELKEM</t>
  </si>
  <si>
    <t>VKP - významné krajinné prvky</t>
  </si>
  <si>
    <t>ochrana životního prostředí</t>
  </si>
  <si>
    <t>36xx</t>
  </si>
  <si>
    <t>1200</t>
  </si>
  <si>
    <t>5136</t>
  </si>
  <si>
    <t>knihy,uč.pomůcky,tisk</t>
  </si>
  <si>
    <t>běžné výdaje OPP</t>
  </si>
  <si>
    <t>VÝDAJE OPP CELKEM</t>
  </si>
  <si>
    <t>výkon činnosti jednotných kontaktních míst (UZ 22005)</t>
  </si>
  <si>
    <t>výdaje oddělení památkové péče</t>
  </si>
  <si>
    <t>4060</t>
  </si>
  <si>
    <t>3900</t>
  </si>
  <si>
    <t>nákup služeb</t>
  </si>
  <si>
    <t>3113</t>
  </si>
  <si>
    <t>5240</t>
  </si>
  <si>
    <t>0309</t>
  </si>
  <si>
    <t>neinv.tr. PO ZŠ JAK, Kollárova</t>
  </si>
  <si>
    <t>3111</t>
  </si>
  <si>
    <t>0390</t>
  </si>
  <si>
    <t>neinv.tr. PO 1. MŠ Karlovy Vary</t>
  </si>
  <si>
    <t>3122</t>
  </si>
  <si>
    <t>neinv.tr. Obchodní akademie KV</t>
  </si>
  <si>
    <t>3114</t>
  </si>
  <si>
    <t>neinv.tr. ZŠ, MŠ a PŠ Vančurova</t>
  </si>
  <si>
    <t>kampaně - finanční odměny</t>
  </si>
  <si>
    <t xml:space="preserve">materiál </t>
  </si>
  <si>
    <t>5166</t>
  </si>
  <si>
    <t>5229</t>
  </si>
  <si>
    <t>Zdravé město - členský poplatek</t>
  </si>
  <si>
    <t>3639</t>
  </si>
  <si>
    <t>5164</t>
  </si>
  <si>
    <t>3402</t>
  </si>
  <si>
    <t>pronájem prostor</t>
  </si>
  <si>
    <t>5175</t>
  </si>
  <si>
    <t>catering</t>
  </si>
  <si>
    <t>5021</t>
  </si>
  <si>
    <t>odměny členům pracovních skupin</t>
  </si>
  <si>
    <t>3429</t>
  </si>
  <si>
    <t>3405</t>
  </si>
  <si>
    <t>Asociace měst pro cyklisty - člen.popl.</t>
  </si>
  <si>
    <t>Asociace měst pro cyklisty - cyklokoordinátor</t>
  </si>
  <si>
    <t>konzultace, poradenství, studie</t>
  </si>
  <si>
    <t>strategické plánování - publicita</t>
  </si>
  <si>
    <t>vzdělávání, školení</t>
  </si>
  <si>
    <t>drobný dlouh.hmot.majetek</t>
  </si>
  <si>
    <t>nájemné</t>
  </si>
  <si>
    <t>5176</t>
  </si>
  <si>
    <t>konference</t>
  </si>
  <si>
    <t>nákup ostatních služeb</t>
  </si>
  <si>
    <t>dotační projekty</t>
  </si>
  <si>
    <t>3636</t>
  </si>
  <si>
    <t>3403</t>
  </si>
  <si>
    <t>knihy,tisk</t>
  </si>
  <si>
    <t>pronájem</t>
  </si>
  <si>
    <t>překlady, tlumočení</t>
  </si>
  <si>
    <t>pohoštění</t>
  </si>
  <si>
    <t>jazykové vzdělávání</t>
  </si>
  <si>
    <t>správní poplatky - kolky</t>
  </si>
  <si>
    <t>inzerce, publicita</t>
  </si>
  <si>
    <t>VÝDAJE OSD CELKEM</t>
  </si>
  <si>
    <t>konzultace, poradenství</t>
  </si>
  <si>
    <t>strategické plánování a programové období 2014-2020</t>
  </si>
  <si>
    <t>projekt Zdravé město a místní Agenda 21 a Asociace měst pro cyklisty</t>
  </si>
  <si>
    <t>ostatní výdaje OSD</t>
  </si>
  <si>
    <t>4060,3402,3405</t>
  </si>
  <si>
    <t>bydlení, komun.služby a úz. rozvoj</t>
  </si>
  <si>
    <t>2212</t>
  </si>
  <si>
    <t>3507</t>
  </si>
  <si>
    <t>přesun z r. 2012 - Ul.Slovenská - skalní masív</t>
  </si>
  <si>
    <t>Odvodnění svahů v ulici Na Vyhlídce</t>
  </si>
  <si>
    <t>Cyklostezka Ohře, úsek Kaufland - Interspaar</t>
  </si>
  <si>
    <t>Rekonstrukce schodiště v areálu kostela SV.Urbana</t>
  </si>
  <si>
    <t>studie, projekty,  ostatní</t>
  </si>
  <si>
    <t>přesun z r.2012 - studie, projekty,  ostatní</t>
  </si>
  <si>
    <t>konzultační, poradenské a právní služby</t>
  </si>
  <si>
    <t>3699</t>
  </si>
  <si>
    <t>3501</t>
  </si>
  <si>
    <t>nájemné za pozemek</t>
  </si>
  <si>
    <t>3510</t>
  </si>
  <si>
    <t>PD - opravy</t>
  </si>
  <si>
    <t>ostatní výdaje ORI celkem</t>
  </si>
  <si>
    <t>4016</t>
  </si>
  <si>
    <t>prezentace, výstavy</t>
  </si>
  <si>
    <t>ostatní běžné výdaje odboru rozvoje a investic</t>
  </si>
  <si>
    <t>projektová dokumentace (PD)</t>
  </si>
  <si>
    <t>6121</t>
  </si>
  <si>
    <t>4091</t>
  </si>
  <si>
    <t>přesun z r. 2012 - projektová dokumentace -Odd.architekt. a urbanismu</t>
  </si>
  <si>
    <t>ostatní investiční akce OI</t>
  </si>
  <si>
    <t>3976</t>
  </si>
  <si>
    <t>Projekty EU ROP - Míčová hala</t>
  </si>
  <si>
    <t>přesun z r. 2012 - Projekty EU ROP - Míčová hala</t>
  </si>
  <si>
    <t>4085</t>
  </si>
  <si>
    <t>Projekty EU ROP - Centrum zdraví a bezpečí</t>
  </si>
  <si>
    <t>přesun z r.2012 - Projekty EU ROP - Centrum zdraví a bezpečí</t>
  </si>
  <si>
    <t>4086</t>
  </si>
  <si>
    <t>přesun z r.2012 - Projekty EU IOP - Stará Role, veřejná prostranství</t>
  </si>
  <si>
    <t>3419</t>
  </si>
  <si>
    <t>4033</t>
  </si>
  <si>
    <t>dofakturace</t>
  </si>
  <si>
    <t>3503</t>
  </si>
  <si>
    <t>přesun z r. 2012 - plán ochrany</t>
  </si>
  <si>
    <t>3506</t>
  </si>
  <si>
    <t>přesun z r. 2012 - Ul.Na Vyhlídce - obnova povrchů</t>
  </si>
  <si>
    <t>3509</t>
  </si>
  <si>
    <t>přesun z r. 2012 - chodník Tašovice-Jenišov</t>
  </si>
  <si>
    <t>3511</t>
  </si>
  <si>
    <t>chodník Olšova vrata (dof.)</t>
  </si>
  <si>
    <t>3512</t>
  </si>
  <si>
    <t>přesun z r. 2012 - chodník Počerny, úprava ploch</t>
  </si>
  <si>
    <t>4012</t>
  </si>
  <si>
    <t>přesun z r. 2012 - chodníky - ul. Chodovská</t>
  </si>
  <si>
    <t>projektová dokumentace - komunikace</t>
  </si>
  <si>
    <t>2219</t>
  </si>
  <si>
    <t>3613</t>
  </si>
  <si>
    <t>3612</t>
  </si>
  <si>
    <t>3518</t>
  </si>
  <si>
    <t>4018</t>
  </si>
  <si>
    <t>přesun z r.2012 - Rev. veř.pr. St. Role - Karlovarská ul.</t>
  </si>
  <si>
    <t>4025</t>
  </si>
  <si>
    <t>přesun z r.2012 - Rev. veř.pr. St. Role -Truhlářská ul.</t>
  </si>
  <si>
    <t>4005</t>
  </si>
  <si>
    <t>Revitalizace veřejných prostor Stará Role</t>
  </si>
  <si>
    <t>Studie</t>
  </si>
  <si>
    <t>3582</t>
  </si>
  <si>
    <t>přesun z r. 2012 - Bezejmenná ulice - Doubí - parcely č. 32/2 a 153/1</t>
  </si>
  <si>
    <t>Lávka přes Horní nádraží</t>
  </si>
  <si>
    <t>Stezka Horní nádraží - Rybáře</t>
  </si>
  <si>
    <t>Úpravy přednádražního prostoru</t>
  </si>
  <si>
    <t>Karlovy Vary,sanace skalních masívů c k.ú. Bohatice</t>
  </si>
  <si>
    <t>Rekonstrukce komunikace k areálu Meandr</t>
  </si>
  <si>
    <t>Ulice K Letišti - rekonstrukce</t>
  </si>
  <si>
    <t>Ulice Fr. Halase - rekonstrukce</t>
  </si>
  <si>
    <t>Ulice Americká a Rumunská - oprava povrchů</t>
  </si>
  <si>
    <t xml:space="preserve">Ulice Vítězná, Prašná - rekonstrukce  </t>
  </si>
  <si>
    <t>ZŠ Poštovní - školní hřiště</t>
  </si>
  <si>
    <t>ZŠ Mozartova - zateplení objektu, rekonstrukce střechy</t>
  </si>
  <si>
    <t>ZŠ Dukelský hrdinů - úprava školního nádvoří</t>
  </si>
  <si>
    <t>MŠ Východní - zateplení</t>
  </si>
  <si>
    <t>PO LL-Jezero Odeř, rekonstrukce přivaděče vody</t>
  </si>
  <si>
    <t>PO LL - Tůně pro obojživelníky Olšová Vrata</t>
  </si>
  <si>
    <t>3920</t>
  </si>
  <si>
    <t>přesun z r.2012-střešní konstrukce St. Kysibelská</t>
  </si>
  <si>
    <t>střešní konstrukce St. Kysibelská</t>
  </si>
  <si>
    <t>6129</t>
  </si>
  <si>
    <t>3972</t>
  </si>
  <si>
    <t xml:space="preserve"> rek. Lidového domu Stará Role</t>
  </si>
  <si>
    <t>3523</t>
  </si>
  <si>
    <t>přesun z r. 2012 výplně otvorů MŠ Krymská10,12</t>
  </si>
  <si>
    <t>výplně otvorů MŠ Krymská10,12</t>
  </si>
  <si>
    <t>výplně otvorů MŠ Krymská 10,12</t>
  </si>
  <si>
    <t>3524</t>
  </si>
  <si>
    <t>Úprava Majakovského ul. - I.etapa</t>
  </si>
  <si>
    <t>3521</t>
  </si>
  <si>
    <t>TZ budov z energ. auditů -zetepl.a výplně MŠ Sedlec</t>
  </si>
  <si>
    <t>3522</t>
  </si>
  <si>
    <t>TZ budov z energ. auditů -zetepl.a výplně MŠ Dvořákova</t>
  </si>
  <si>
    <t>VÝDAJE ORI CELKEM</t>
  </si>
  <si>
    <t>oddělení architektury a urbanismu</t>
  </si>
  <si>
    <t>3500,3501,3510,4016</t>
  </si>
  <si>
    <t xml:space="preserve">EUREGIO EGRENSIS - neinv. transfer </t>
  </si>
  <si>
    <t>0297</t>
  </si>
  <si>
    <t>Svazu měst a obcí - neinv.příspěvek</t>
  </si>
  <si>
    <t>0262</t>
  </si>
  <si>
    <t>Sdružení historických sídel ČMS - člen.příspěvky</t>
  </si>
  <si>
    <t>2144</t>
  </si>
  <si>
    <t>2874</t>
  </si>
  <si>
    <t>Sdružení lázeňských míst - členské příspěvky</t>
  </si>
  <si>
    <t>4100</t>
  </si>
  <si>
    <t>DSO České lázně - Salony Evropy - příspěvek</t>
  </si>
  <si>
    <t>Great Spas of Europe</t>
  </si>
  <si>
    <t>členské příspěvky</t>
  </si>
  <si>
    <t xml:space="preserve">ost. daně a poplatky </t>
  </si>
  <si>
    <t>daň z příjmu města, ost. daně a poplatky</t>
  </si>
  <si>
    <t>4343</t>
  </si>
  <si>
    <t>Reverse charge (PDP)</t>
  </si>
  <si>
    <t>platba daní a poplatků</t>
  </si>
  <si>
    <t>DDHM</t>
  </si>
  <si>
    <t>poštovní služby</t>
  </si>
  <si>
    <t>služby peněžních ústavů</t>
  </si>
  <si>
    <t>pronájem bezpečnostních schránek</t>
  </si>
  <si>
    <t>konz., poradenské a práv. služby</t>
  </si>
  <si>
    <t>2882</t>
  </si>
  <si>
    <t>vyrovnání s byt.družstvem St.Role č.1</t>
  </si>
  <si>
    <t>pokuty, náklady řízení</t>
  </si>
  <si>
    <t>finanční vypořádání minulých let</t>
  </si>
  <si>
    <t xml:space="preserve">vratka nedočerpaných stát.dotací </t>
  </si>
  <si>
    <t>splátka úroků z úvěrů města</t>
  </si>
  <si>
    <t xml:space="preserve">ostatní výdaje OFE </t>
  </si>
  <si>
    <t>neinv.půjčené prostředky PO ZŠ jazyků</t>
  </si>
  <si>
    <t>povinné rezervy, mimoř. výdaje města</t>
  </si>
  <si>
    <t>konzult., poradenské a právní sl. pro OVAK</t>
  </si>
  <si>
    <t>neinv.transfer - Alžbětiny lázně, a.s.</t>
  </si>
  <si>
    <t>nákup tech.zařízení pro výběr míst.popl. za povolení k vjezdu do láz.úz.</t>
  </si>
  <si>
    <t>1031</t>
  </si>
  <si>
    <t>6451</t>
  </si>
  <si>
    <t>investiční půjčené prostředky PO Lázeňské Lesy na projekt "Příroda spojuje - sv. Linhart"</t>
  </si>
  <si>
    <t>VÝDAJE OFE CELKEM</t>
  </si>
  <si>
    <t>neinv.transf.- "Císařské lázně Karlovy Vary"</t>
  </si>
  <si>
    <t>1014</t>
  </si>
  <si>
    <t>7010</t>
  </si>
  <si>
    <t>5151</t>
  </si>
  <si>
    <t>5154</t>
  </si>
  <si>
    <t>5162</t>
  </si>
  <si>
    <t>telefon, internet</t>
  </si>
  <si>
    <t>nákup ostatních služeb (veterinární služba...)</t>
  </si>
  <si>
    <t>oprava a udržování</t>
  </si>
  <si>
    <t>nájemné - septik, pozemek</t>
  </si>
  <si>
    <t>veterinární péče (útulek pro domácí zvířata)</t>
  </si>
  <si>
    <t>3722</t>
  </si>
  <si>
    <t>7023</t>
  </si>
  <si>
    <t>sběr a svoz komunálního odpadu</t>
  </si>
  <si>
    <t>sběr a svoz nebezpečného  odpadu</t>
  </si>
  <si>
    <t>nakládání s odpadem</t>
  </si>
  <si>
    <t>7024</t>
  </si>
  <si>
    <t>DPKV a.s. mandátní smlouva - park. automaty</t>
  </si>
  <si>
    <t>2229</t>
  </si>
  <si>
    <t>platby za odtahy vozidel a služ. souv.</t>
  </si>
  <si>
    <t>7080</t>
  </si>
  <si>
    <t>Silnice -nákup drobného majetku</t>
  </si>
  <si>
    <t>Silnice - nákup materiálu</t>
  </si>
  <si>
    <t>Silnice - nájemné</t>
  </si>
  <si>
    <t xml:space="preserve">Silnice -konzultační a poradenské služby </t>
  </si>
  <si>
    <t>Silnice -ostatní služby</t>
  </si>
  <si>
    <t>Silnice - opravy a udržování</t>
  </si>
  <si>
    <t>přesun z r.2012 - opravy a udrž. - Zahr. a Horova ul.</t>
  </si>
  <si>
    <t xml:space="preserve">Silnice </t>
  </si>
  <si>
    <t>7082</t>
  </si>
  <si>
    <t>Silnice - čištění, zimní údržba komunikací</t>
  </si>
  <si>
    <t>7078</t>
  </si>
  <si>
    <t>VO - elektrická energie</t>
  </si>
  <si>
    <t>VO - konzultační a poradenské služby</t>
  </si>
  <si>
    <t>VO - ostatní služby</t>
  </si>
  <si>
    <t>VO - opravy a udržování</t>
  </si>
  <si>
    <t>VO - veřejné osvětlení -  celkem</t>
  </si>
  <si>
    <t>5331</t>
  </si>
  <si>
    <t>7070</t>
  </si>
  <si>
    <t>PO LL - neinvest.příspěvek města</t>
  </si>
  <si>
    <t>PO LL - neinv.tr. na projekt Sv.Linhart</t>
  </si>
  <si>
    <t>3745</t>
  </si>
  <si>
    <t>7072</t>
  </si>
  <si>
    <t>PO SLP - neinvest.příspěvek města</t>
  </si>
  <si>
    <t>PO SLP - neinv.tr. na projekt Karlovarská zahrada</t>
  </si>
  <si>
    <t>3599</t>
  </si>
  <si>
    <t>7077</t>
  </si>
  <si>
    <t>PO SPLZaK - neinvest.příspěvek města</t>
  </si>
  <si>
    <t>PO SPLZaK - neinv.příspěvek na PAP</t>
  </si>
  <si>
    <t>7021</t>
  </si>
  <si>
    <t>přechody pro chodce</t>
  </si>
  <si>
    <t>parkoviště</t>
  </si>
  <si>
    <t>přesun z r.2012 - parkoviště Severní ulice</t>
  </si>
  <si>
    <t>3631</t>
  </si>
  <si>
    <t>VO (veřejné osvětlení) - projektová dokument.</t>
  </si>
  <si>
    <t>7086</t>
  </si>
  <si>
    <t>přesun z r.2012 - VO K přehradě</t>
  </si>
  <si>
    <t>7087</t>
  </si>
  <si>
    <t>VO B.Němcové</t>
  </si>
  <si>
    <t>VO Doubí - Nová</t>
  </si>
  <si>
    <t>přesun z r. 2012 - VO Doubí - Nová</t>
  </si>
  <si>
    <t>7028</t>
  </si>
  <si>
    <t>přesun z r. 2012 - VO Sedlec</t>
  </si>
  <si>
    <t>7056</t>
  </si>
  <si>
    <t>VO Na Průhoně</t>
  </si>
  <si>
    <t>7057</t>
  </si>
  <si>
    <t>přesun z r.2012 - VO Pod Jelením skokem</t>
  </si>
  <si>
    <t>7062</t>
  </si>
  <si>
    <t>VO Sportovní</t>
  </si>
  <si>
    <t>7063</t>
  </si>
  <si>
    <t>VO K Linhartu</t>
  </si>
  <si>
    <t>7064</t>
  </si>
  <si>
    <t>VO Mattoniho nábř.</t>
  </si>
  <si>
    <t>7065</t>
  </si>
  <si>
    <t>VO Varšavská</t>
  </si>
  <si>
    <t>7061</t>
  </si>
  <si>
    <t>přesun z r.2012 - VO Zahradní ulice</t>
  </si>
  <si>
    <t>7059</t>
  </si>
  <si>
    <t>Silnice - PD</t>
  </si>
  <si>
    <t>6351</t>
  </si>
  <si>
    <t>PO LL - Příroda spojuje-Sv.Linhart</t>
  </si>
  <si>
    <t>PO LL - lanový park "U Linharta"</t>
  </si>
  <si>
    <t>6356</t>
  </si>
  <si>
    <t>PO LL - inv.tr. na projekt Sv.Linhart</t>
  </si>
  <si>
    <t>PO SPLZaK - podlaží haly Fontány-Vříd.kol.</t>
  </si>
  <si>
    <t>PO SPLZaK - moder.monit.syst.režim.měření</t>
  </si>
  <si>
    <t>PO SPLZaK - obnova hlavního zásob.řádu</t>
  </si>
  <si>
    <t>PO SPLZaK - havarijní stav akumulnádrže a krenotechniky</t>
  </si>
  <si>
    <t>PO SLP - inv.transf.-obnova stroj.parku</t>
  </si>
  <si>
    <t>PO SLP - Karlovarská dendrologická stezka - sadové úpravy</t>
  </si>
  <si>
    <t>PO SLP - Revitalizace hřbitova v Drahovicích</t>
  </si>
  <si>
    <t>PO SLP - vytápění areálu SLP</t>
  </si>
  <si>
    <t>PO SLP - rozšíření urnových míst - Růžový vrch</t>
  </si>
  <si>
    <t>PO SLP - vysavač na psí exkrementy</t>
  </si>
  <si>
    <t>PO SLP - náves Tašovice</t>
  </si>
  <si>
    <t>PO SLP - samosběr (dotace)</t>
  </si>
  <si>
    <t>VÝDAJE OT CELKEM</t>
  </si>
  <si>
    <t>4100,0297,0262,2874</t>
  </si>
  <si>
    <t>3639,6171,3322,2144,3329,3699</t>
  </si>
  <si>
    <t>4100,4343</t>
  </si>
  <si>
    <t>6171,6310,6399,6409,6402,3429</t>
  </si>
  <si>
    <t>Silnice - voda - pítka</t>
  </si>
  <si>
    <t>DPKV a.s. mandátní smlouva - park. Automaty</t>
  </si>
  <si>
    <t>372x</t>
  </si>
  <si>
    <t>doprava</t>
  </si>
  <si>
    <t>zdravotnictví</t>
  </si>
  <si>
    <t>neinv.transf.-DOP-HOME Care,s.r.o.</t>
  </si>
  <si>
    <t>4379</t>
  </si>
  <si>
    <t>5223</t>
  </si>
  <si>
    <t>0712</t>
  </si>
  <si>
    <t>neinv.transf.-Centra sociál.pomoci(Farní charita)</t>
  </si>
  <si>
    <t>43xx</t>
  </si>
  <si>
    <t>neinv.transf.-Armáda spásy</t>
  </si>
  <si>
    <t>5221</t>
  </si>
  <si>
    <t>1079</t>
  </si>
  <si>
    <t>neinv.transf. - Tyflocentrum</t>
  </si>
  <si>
    <t>neinv.transf. - Tyfloservis</t>
  </si>
  <si>
    <t>5222</t>
  </si>
  <si>
    <t>neinv.transf.-Res vitae</t>
  </si>
  <si>
    <t>neinv.transf.-Kontakt bB</t>
  </si>
  <si>
    <t>0711</t>
  </si>
  <si>
    <t>neinv.transf.-ag. domácí péče-LADARA</t>
  </si>
  <si>
    <t>neinv.transf.práv.os. - Domácí péče,s.r.o.</t>
  </si>
  <si>
    <t>neinv.transf.obecně prospěšným organizacím</t>
  </si>
  <si>
    <t>neinv.transf.občanským sdružením</t>
  </si>
  <si>
    <t>5339</t>
  </si>
  <si>
    <t>neinv.transf. - Léčebna dlouh.nemocných Nejdek</t>
  </si>
  <si>
    <t>ost. neinv.transfery do sociálně zdrav.oblasti</t>
  </si>
  <si>
    <t>ostatní neinv.transfery do sociálně zdrav.oblasti</t>
  </si>
  <si>
    <t>0702</t>
  </si>
  <si>
    <t>KD - drobný hmotný dlouhodobý majetek</t>
  </si>
  <si>
    <t>KD - nákup materiálu</t>
  </si>
  <si>
    <t>KD - studená voda</t>
  </si>
  <si>
    <t>KD - dálkové topení</t>
  </si>
  <si>
    <t>KD - elektrická energie</t>
  </si>
  <si>
    <t>KD - nákup ostatních služeb</t>
  </si>
  <si>
    <t>KD - opravy</t>
  </si>
  <si>
    <t>Klub důchodců (KD)</t>
  </si>
  <si>
    <t>0733</t>
  </si>
  <si>
    <t>vyklizení bytů za nesvéprávné a zemřelé</t>
  </si>
  <si>
    <t>3632</t>
  </si>
  <si>
    <t>5192</t>
  </si>
  <si>
    <t>pohřebné</t>
  </si>
  <si>
    <t>0730</t>
  </si>
  <si>
    <t>odborná literatura, tiskoviny</t>
  </si>
  <si>
    <t>ostatní materiál jinde nezař.</t>
  </si>
  <si>
    <t>4349</t>
  </si>
  <si>
    <t>projekty iniciované v rámci KP (komunit.plán.)</t>
  </si>
  <si>
    <t>školení a vzdělávání v KPSS</t>
  </si>
  <si>
    <t>ostatní služby-komunitní plánování</t>
  </si>
  <si>
    <t>5194</t>
  </si>
  <si>
    <t>věcné dary</t>
  </si>
  <si>
    <t>Komunitní plánování</t>
  </si>
  <si>
    <t>0708</t>
  </si>
  <si>
    <t>zdravotní výkony</t>
  </si>
  <si>
    <t>tisk tiskopisů (recepty s modr.pruhem)</t>
  </si>
  <si>
    <t>0724</t>
  </si>
  <si>
    <t>školení a vzdělávání pěstounů</t>
  </si>
  <si>
    <t xml:space="preserve">ostatní služby  </t>
  </si>
  <si>
    <t>5499</t>
  </si>
  <si>
    <t>ostatní nein.transfery obyvatelstvu</t>
  </si>
  <si>
    <t>nespec.rezerva - nerozdělené výdaje</t>
  </si>
  <si>
    <t>výkon pěstounské péče (ÚZ 13010)</t>
  </si>
  <si>
    <t>0721</t>
  </si>
  <si>
    <t>drobný hmot. majetek</t>
  </si>
  <si>
    <t>5156</t>
  </si>
  <si>
    <t>pohonné hmoty</t>
  </si>
  <si>
    <t>služby telekomunikací</t>
  </si>
  <si>
    <t>5173</t>
  </si>
  <si>
    <t>sociálně-právní ochrana dětí (UZ 13011)</t>
  </si>
  <si>
    <t>úhrada nájemného - azylanti (UZ 14336)</t>
  </si>
  <si>
    <t>0742</t>
  </si>
  <si>
    <t>fin.dary obyvatelům domu v Jaltské ulici 1085/3</t>
  </si>
  <si>
    <t>nespec.výdaje</t>
  </si>
  <si>
    <t>Fond pro finanční pomoci v kriz.situacích</t>
  </si>
  <si>
    <t>bezúročné půjčky obyvatelstvu</t>
  </si>
  <si>
    <t xml:space="preserve">PO MZSS - neinvestiční příspěvek </t>
  </si>
  <si>
    <t>inv.transfer o.s. - Babybox pro odložené děti - Statim</t>
  </si>
  <si>
    <t>VÝDAJE OSV CELKEM</t>
  </si>
  <si>
    <t>0702,0733,0730,0708</t>
  </si>
  <si>
    <t>43xx,3632</t>
  </si>
  <si>
    <t>sociální věci</t>
  </si>
  <si>
    <t>nákup služeb - Bytové družstvo Stará Role 1</t>
  </si>
  <si>
    <t>5179</t>
  </si>
  <si>
    <t>ostatní nákupy - Bytové družstvo Stará Role 1</t>
  </si>
  <si>
    <t>2885</t>
  </si>
  <si>
    <t>nákup ost.služeb - Bytové družstvo Stará Role 2</t>
  </si>
  <si>
    <t>ostatní nákupy - Bytové družstvo Stará Role 2</t>
  </si>
  <si>
    <t>ost.náklady na bytovou výstavbu Stará Role</t>
  </si>
  <si>
    <t>7026</t>
  </si>
  <si>
    <t>drobný hmotný majetek</t>
  </si>
  <si>
    <t>dofakturace - nákup ostatních služeb</t>
  </si>
  <si>
    <t>mandátní smlouva s DPKV,a.s.-správa parkovišť</t>
  </si>
  <si>
    <t>5362</t>
  </si>
  <si>
    <t>platby daní a poplatků</t>
  </si>
  <si>
    <t>správa pozemků</t>
  </si>
  <si>
    <t>5134</t>
  </si>
  <si>
    <t>2861</t>
  </si>
  <si>
    <t>prádlo,oděv,obuv</t>
  </si>
  <si>
    <t>drob.hmot.dlouh.majetek</t>
  </si>
  <si>
    <t>dálk. dodávaná tepel. energie</t>
  </si>
  <si>
    <t>pojištění majetku</t>
  </si>
  <si>
    <t xml:space="preserve">opravy a udržování </t>
  </si>
  <si>
    <t>spoluúčast na poj. událostech hrazená organ.</t>
  </si>
  <si>
    <t>5429</t>
  </si>
  <si>
    <t>spoluúčast na poj. událostech hrazená obyv.</t>
  </si>
  <si>
    <t>nespecifikované rezervy</t>
  </si>
  <si>
    <t>správa nebytových prostorů</t>
  </si>
  <si>
    <t>2860</t>
  </si>
  <si>
    <t>nájemné ZŠ</t>
  </si>
  <si>
    <t>deratizace, revize a ostatní služby - MŠ</t>
  </si>
  <si>
    <t>deratizace, revize a ostatní služby - ZŠ</t>
  </si>
  <si>
    <t>opravy, údržba ZŠ</t>
  </si>
  <si>
    <t>opravy, údržba MŠ</t>
  </si>
  <si>
    <t>přesun z r. 2012 - opravy, údržba</t>
  </si>
  <si>
    <t>opravy budov školství</t>
  </si>
  <si>
    <t>Správa opěrných zdí</t>
  </si>
  <si>
    <t>0289</t>
  </si>
  <si>
    <t>drobný majetek</t>
  </si>
  <si>
    <t>6310</t>
  </si>
  <si>
    <t>3800</t>
  </si>
  <si>
    <t>služby peněž. ústavů - popl. bance</t>
  </si>
  <si>
    <t>nákup ostatních služeb - havarijní ubytování</t>
  </si>
  <si>
    <t>bytové hospodářství</t>
  </si>
  <si>
    <t>9334</t>
  </si>
  <si>
    <t>prodej bytů - ost.služby</t>
  </si>
  <si>
    <t>prodej bytů - daň z převodu nemovitostí</t>
  </si>
  <si>
    <t>6409</t>
  </si>
  <si>
    <t>5909</t>
  </si>
  <si>
    <t>vrácení přeplatku</t>
  </si>
  <si>
    <t>9518</t>
  </si>
  <si>
    <t>prodej bytových domů - ost.služby</t>
  </si>
  <si>
    <t>prodej bytových domů - daň z převodu nemovitostí</t>
  </si>
  <si>
    <t>9528</t>
  </si>
  <si>
    <t>prodej nebytových domů - ost.služby</t>
  </si>
  <si>
    <t>prodej nebytových domů - daň z převodu nemovitostí</t>
  </si>
  <si>
    <t>9542</t>
  </si>
  <si>
    <t>pozemky - konzult.,porad., právní služby</t>
  </si>
  <si>
    <t>pozemky - ost.služby</t>
  </si>
  <si>
    <t>pozemky - daň z převodu nemovitostí</t>
  </si>
  <si>
    <t>3901</t>
  </si>
  <si>
    <t>směny pozemků - ost.služby</t>
  </si>
  <si>
    <t>směny pozemků - daň z převodu nemovitostí</t>
  </si>
  <si>
    <t>agenda prodeje majetku města</t>
  </si>
  <si>
    <t>9540</t>
  </si>
  <si>
    <t>mandátní smlouva RK IKON</t>
  </si>
  <si>
    <t>RK IKON</t>
  </si>
  <si>
    <t>9515</t>
  </si>
  <si>
    <t>opravy a údržba</t>
  </si>
  <si>
    <t>9516</t>
  </si>
  <si>
    <t>voda</t>
  </si>
  <si>
    <t>5152</t>
  </si>
  <si>
    <t>teplo</t>
  </si>
  <si>
    <t>2867</t>
  </si>
  <si>
    <t>revize, studie</t>
  </si>
  <si>
    <r>
      <rPr>
        <b/>
        <sz val="10"/>
        <color indexed="8"/>
        <rFont val="Calibri"/>
        <family val="2"/>
        <charset val="238"/>
      </rPr>
      <t>SPURM 1.11. opěrné zdi</t>
    </r>
    <r>
      <rPr>
        <sz val="10"/>
        <color indexed="8"/>
        <rFont val="Calibri"/>
        <family val="2"/>
        <charset val="238"/>
      </rPr>
      <t xml:space="preserve"> - opravy a udržování </t>
    </r>
  </si>
  <si>
    <r>
      <rPr>
        <b/>
        <sz val="10"/>
        <color indexed="8"/>
        <rFont val="Calibri"/>
        <family val="2"/>
        <charset val="238"/>
      </rPr>
      <t>SPURM 1.11. opěrné zdi</t>
    </r>
    <r>
      <rPr>
        <sz val="10"/>
        <color indexed="8"/>
        <rFont val="Calibri"/>
        <family val="2"/>
        <charset val="238"/>
      </rPr>
      <t xml:space="preserve"> - dofakturace</t>
    </r>
  </si>
  <si>
    <r>
      <t xml:space="preserve">přesun z r. 2012 </t>
    </r>
    <r>
      <rPr>
        <b/>
        <sz val="10"/>
        <color indexed="8"/>
        <rFont val="Calibri"/>
        <family val="2"/>
        <charset val="238"/>
      </rPr>
      <t>- SPURM 1.11. opěrné zdi</t>
    </r>
    <r>
      <rPr>
        <sz val="10"/>
        <color indexed="8"/>
        <rFont val="Calibri"/>
        <family val="2"/>
        <charset val="238"/>
      </rPr>
      <t xml:space="preserve"> </t>
    </r>
  </si>
  <si>
    <t>opravy a udržování (oblast bezpečnost)</t>
  </si>
  <si>
    <t>2856</t>
  </si>
  <si>
    <t>revize</t>
  </si>
  <si>
    <t>provozní náklady staveb. archivu</t>
  </si>
  <si>
    <t>2221</t>
  </si>
  <si>
    <t>3979</t>
  </si>
  <si>
    <t xml:space="preserve">služby  </t>
  </si>
  <si>
    <t>dopravní terminál Dolní nádraží - příspěvek</t>
  </si>
  <si>
    <t>5133</t>
  </si>
  <si>
    <t>0509</t>
  </si>
  <si>
    <t>zdravotnický materiál</t>
  </si>
  <si>
    <t>5153</t>
  </si>
  <si>
    <t>půjčovné</t>
  </si>
  <si>
    <t>služby</t>
  </si>
  <si>
    <t>přesun z r. 2012 - služby</t>
  </si>
  <si>
    <t>areál Rolava - provozní výdaje</t>
  </si>
  <si>
    <t>3625</t>
  </si>
  <si>
    <t>telefony</t>
  </si>
  <si>
    <t>opravy</t>
  </si>
  <si>
    <t>Bohatice - skatepark - provozní výdaje</t>
  </si>
  <si>
    <t>4029</t>
  </si>
  <si>
    <t>aktualizace energetických auditů - ZŠ</t>
  </si>
  <si>
    <t>aktualizace energetických auditů</t>
  </si>
  <si>
    <t>0560</t>
  </si>
  <si>
    <t>nákup ost. Služeb</t>
  </si>
  <si>
    <t xml:space="preserve">dofakturace - opravy a udržování </t>
  </si>
  <si>
    <t>přesun z r.2012 - opravy v Letním kině</t>
  </si>
  <si>
    <t xml:space="preserve">náklady řízení </t>
  </si>
  <si>
    <t>5363</t>
  </si>
  <si>
    <t>sankce placená obci</t>
  </si>
  <si>
    <t>revitalizace letního kina</t>
  </si>
  <si>
    <t>3903</t>
  </si>
  <si>
    <t>přesun z r. 2012 - rekonstrukce Lázeňská 14 - Infocentrum</t>
  </si>
  <si>
    <t>3611</t>
  </si>
  <si>
    <t>5660</t>
  </si>
  <si>
    <t>3821</t>
  </si>
  <si>
    <t>půjčky z FRB</t>
  </si>
  <si>
    <t>5361</t>
  </si>
  <si>
    <t>3939</t>
  </si>
  <si>
    <t>prodej majetku-nákup kolků</t>
  </si>
  <si>
    <t>prodej majetku-konzult., porad. a práv.služby</t>
  </si>
  <si>
    <t>úhrada soudních popl.</t>
  </si>
  <si>
    <t>2141</t>
  </si>
  <si>
    <t>3505</t>
  </si>
  <si>
    <t>farmářské trhy</t>
  </si>
  <si>
    <t>0281</t>
  </si>
  <si>
    <t>mandátní odměna DPKV,a.s. - parkoviště</t>
  </si>
  <si>
    <t xml:space="preserve">technické zhodnocení budov </t>
  </si>
  <si>
    <t>směny pozemků - doplatky při směně pozemků</t>
  </si>
  <si>
    <t>2857</t>
  </si>
  <si>
    <t>dofakturace - nákup kabelové trasy pro datovou síť</t>
  </si>
  <si>
    <t>majetkoprávní vypořádání - rek.komunikací</t>
  </si>
  <si>
    <t>Městské divadlo</t>
  </si>
  <si>
    <t>budovy, haly, stavby - nebytové domy</t>
  </si>
  <si>
    <t xml:space="preserve">přesun z r.2012  </t>
  </si>
  <si>
    <t>tech. zhodnocení objektů hasičských zbrojnic</t>
  </si>
  <si>
    <t>technické zhodnocení - objekty MŠ</t>
  </si>
  <si>
    <t>technické zhodnocení - objekty ZŠ</t>
  </si>
  <si>
    <t>technické zhodnocení - objekty MŠ a ZŠ</t>
  </si>
  <si>
    <t>nespecifikované výkupy - pozemky</t>
  </si>
  <si>
    <t>nespecifikované výkupy - nemovitosti</t>
  </si>
  <si>
    <t>zhodnocení budov z energ. auditů ZŠ</t>
  </si>
  <si>
    <t>zhodnocení budov z energ. auditů  MŠ</t>
  </si>
  <si>
    <t>zhodnocení budov z energ. auditů ZŠ, MŠ</t>
  </si>
  <si>
    <t>Letní kino - osvětlení areálu</t>
  </si>
  <si>
    <t>Letní kino</t>
  </si>
  <si>
    <t>přístřešek pro občerstvení - pergola</t>
  </si>
  <si>
    <t>přesun z r.2012 - elektroměrová skříň</t>
  </si>
  <si>
    <t>přesun z r.2012 - sport.vybavení</t>
  </si>
  <si>
    <t>areál ROLAVA</t>
  </si>
  <si>
    <t xml:space="preserve">Bohatice - skatepark </t>
  </si>
  <si>
    <t>Dopravní terminál Dolního nádr.-inform.tabule</t>
  </si>
  <si>
    <t>Cyklost. Doubí-Dvorský most-výkup pozemků</t>
  </si>
  <si>
    <t>rek. Lidového domu Stará Role</t>
  </si>
  <si>
    <t>přesun z r.2012 - rekonstrukce Lázeňská 14 - Infocentrum</t>
  </si>
  <si>
    <t>přesun z r.2012 - Infocentrum - inv.vybavení</t>
  </si>
  <si>
    <t>zahrádky, garáže</t>
  </si>
  <si>
    <t>2838</t>
  </si>
  <si>
    <t>Komenského - bydlení pro mladé</t>
  </si>
  <si>
    <t>2839</t>
  </si>
  <si>
    <t>Galerie umění - rekonstrukce střechy a světlopropustných otvorů</t>
  </si>
  <si>
    <t>2836</t>
  </si>
  <si>
    <t>výkup K centrum</t>
  </si>
  <si>
    <t>K centrum - nákup dlouh.majetku</t>
  </si>
  <si>
    <t>2837</t>
  </si>
  <si>
    <t>dohoda o narovnání s VaK K.Vary</t>
  </si>
  <si>
    <t>3319</t>
  </si>
  <si>
    <t>3919</t>
  </si>
  <si>
    <t>Hvězdárna-nákup a instalace dalekohledu</t>
  </si>
  <si>
    <t>VÝDAJE OMM CELKEM</t>
  </si>
  <si>
    <t>0294</t>
  </si>
  <si>
    <t>5424</t>
  </si>
  <si>
    <t>prevence kriminality - lektorné</t>
  </si>
  <si>
    <t>léky a zdravotnický materiál</t>
  </si>
  <si>
    <t>prádlo, oděv, obuv</t>
  </si>
  <si>
    <t>knihy, učební pomůcky, tisk</t>
  </si>
  <si>
    <t xml:space="preserve">drobný hmotný dlouhodobý majetek </t>
  </si>
  <si>
    <t>prevence kriminality - propagační materiály</t>
  </si>
  <si>
    <t>ostatní finanční výdaje</t>
  </si>
  <si>
    <t>dálkové topení</t>
  </si>
  <si>
    <t>teplá voda</t>
  </si>
  <si>
    <t>služby pošt</t>
  </si>
  <si>
    <t>služby telekom. a radiokomunikací</t>
  </si>
  <si>
    <t>pojistné</t>
  </si>
  <si>
    <t>prev.kriminality - spoluúč.- asistenti:školení</t>
  </si>
  <si>
    <t>prev. kriminality - spoluúč. - asistenti:služby</t>
  </si>
  <si>
    <t>kolky</t>
  </si>
  <si>
    <t>platby daní a poplatků stát.rozpočtu</t>
  </si>
  <si>
    <t>5011</t>
  </si>
  <si>
    <t>asistenti prevence krim. - platy</t>
  </si>
  <si>
    <t>5031</t>
  </si>
  <si>
    <t>asistenti prevence krim. - soc.zabezp.</t>
  </si>
  <si>
    <t>5032</t>
  </si>
  <si>
    <t>asistenti prevence krim. - zdrav.poj.</t>
  </si>
  <si>
    <t>asistenti prevence krim. - školení</t>
  </si>
  <si>
    <t>asistenti prevence krim. - audit projektu</t>
  </si>
  <si>
    <t>bezpečnost a veřejný pořádek</t>
  </si>
  <si>
    <t>převod z objemu mezd odborové organizaci</t>
  </si>
  <si>
    <t>neinv.tr - o.p.s. Náhradním rodinám</t>
  </si>
  <si>
    <t>neinv. transfery - prev. kriminality - K-centrum</t>
  </si>
  <si>
    <t>neinv.transf. OS Res Vitae</t>
  </si>
  <si>
    <t>neinv.transf. OS Modrá hvězda života</t>
  </si>
  <si>
    <t>neinv.transf. OS KV Senior</t>
  </si>
  <si>
    <t>neinv.transf. OS Armáda spásy ČR</t>
  </si>
  <si>
    <t>neinv.transf. OS PROTEBE live</t>
  </si>
  <si>
    <t>neinv.transf. Sportovní klub MP</t>
  </si>
  <si>
    <t>ost. neinv. transfery - prevence kriminality</t>
  </si>
  <si>
    <t>Terapeutický pobyt dětí v péči OSPOD (ÚZ 14018)</t>
  </si>
  <si>
    <t>výdaje fondu městské policie-poplatky b.</t>
  </si>
  <si>
    <t>2010</t>
  </si>
  <si>
    <t>příspěvek na stravování</t>
  </si>
  <si>
    <t>Sociální fond MP</t>
  </si>
  <si>
    <t>činnost místní správy - ost. výdaje MP celkem</t>
  </si>
  <si>
    <t>stroje, přístroje, zařízení</t>
  </si>
  <si>
    <t>dopravní prostředky</t>
  </si>
  <si>
    <t>VÝDAJE MP CELKEM</t>
  </si>
  <si>
    <t>projektová dokumentace - integrace s HZS</t>
  </si>
  <si>
    <t>0291</t>
  </si>
  <si>
    <t>TZ - trezorové dveře</t>
  </si>
  <si>
    <t>činnost místní správy - ost. výdaje MP</t>
  </si>
  <si>
    <t>MP - stroje, přístroje, zařízení</t>
  </si>
  <si>
    <t>MP- stroje, přístroje, zařízení</t>
  </si>
  <si>
    <t>MP - dopravní prostředky</t>
  </si>
  <si>
    <t>0294,2010</t>
  </si>
  <si>
    <t>6171,6310</t>
  </si>
  <si>
    <t>elektrické energie</t>
  </si>
  <si>
    <t>areál Západní 67</t>
  </si>
  <si>
    <t>kulturní akce</t>
  </si>
  <si>
    <t>Ostatní běžné výdaje OSV</t>
  </si>
  <si>
    <t>ostatní běžné výdaje OSV celkem</t>
  </si>
  <si>
    <t xml:space="preserve"> rekonstrukce Lázeňská 14 - Infocentrum</t>
  </si>
  <si>
    <t>správa opěrných zdí</t>
  </si>
  <si>
    <t>311x</t>
  </si>
  <si>
    <t>3613,311x</t>
  </si>
  <si>
    <t>hospodářství a průmysl</t>
  </si>
  <si>
    <t>9334,9518,9528,9542,3939,3901</t>
  </si>
  <si>
    <t>4084</t>
  </si>
  <si>
    <t>územní plán - konzultační, poraden. služby</t>
  </si>
  <si>
    <t>územní plán - nákup ostatních služeb</t>
  </si>
  <si>
    <t>konzultační a poradenské služby</t>
  </si>
  <si>
    <t>nákup služeb - foto, filmy, obraz. dokum.</t>
  </si>
  <si>
    <t>územní plánování</t>
  </si>
  <si>
    <t>3700</t>
  </si>
  <si>
    <t>běžná činnost SÚ</t>
  </si>
  <si>
    <t>3701</t>
  </si>
  <si>
    <t>archívní činnost</t>
  </si>
  <si>
    <t>5212</t>
  </si>
  <si>
    <t>6342</t>
  </si>
  <si>
    <t>inv.transfer KK na protipovod.opatření</t>
  </si>
  <si>
    <t>VÝDAJE ÚÚPaSÚ CELKEM</t>
  </si>
  <si>
    <t>výpočetní technika - kopírovací stroj - archiv</t>
  </si>
  <si>
    <t>0270</t>
  </si>
  <si>
    <t>nákup drobného hmot. dlouhodob. majetku</t>
  </si>
  <si>
    <t xml:space="preserve">konzultační a poradenské služby </t>
  </si>
  <si>
    <t>občerstvení - soutěž mladých cyklistů</t>
  </si>
  <si>
    <t>úhrady účastníkům správního řízení</t>
  </si>
  <si>
    <t>odbor dopravy</t>
  </si>
  <si>
    <t>neinv. transf.-BESIP-Centrum služ.pro siln.dopr.</t>
  </si>
  <si>
    <t>dopravní obslužnost města</t>
  </si>
  <si>
    <t>VÝDAJE OD CELKEM</t>
  </si>
  <si>
    <t>dopravní obslužnost města - DPKV</t>
  </si>
  <si>
    <t>2863</t>
  </si>
  <si>
    <t>správní poplatky</t>
  </si>
  <si>
    <t>konzultace, poradenské a právní služby</t>
  </si>
  <si>
    <t>Lebedovi - úroky z prodlení</t>
  </si>
  <si>
    <t>Leberovi - náklady soudního řízení</t>
  </si>
  <si>
    <t>Lebedovi - úhrada jistin</t>
  </si>
  <si>
    <t>finanční rezerva - TEI</t>
  </si>
  <si>
    <t>neinv. příspěvky a náhrady</t>
  </si>
  <si>
    <t>9345</t>
  </si>
  <si>
    <t>právní služby</t>
  </si>
  <si>
    <t>náhardy soudních řízení</t>
  </si>
  <si>
    <t>soudní poplatky</t>
  </si>
  <si>
    <t>VÝDAJE PRÁV CELKEM</t>
  </si>
  <si>
    <t>úhrada provozní náklady(UZ 22005)</t>
  </si>
  <si>
    <t>drobný hmotný dlouh.majetek</t>
  </si>
  <si>
    <t>kancelářské potřeby</t>
  </si>
  <si>
    <t>vodné</t>
  </si>
  <si>
    <t>el.energie</t>
  </si>
  <si>
    <t>ostatní služby-reklama</t>
  </si>
  <si>
    <t>výkon činnosti jednotných kontaktních míst UZ 22005</t>
  </si>
  <si>
    <t>VÝDAJE ObŽÚ CELKEM</t>
  </si>
  <si>
    <t>odměny za užití duševního vlastnictví</t>
  </si>
  <si>
    <t>léky</t>
  </si>
  <si>
    <t xml:space="preserve">nákup mater. (kancel. potřeby, čist. prostř...) </t>
  </si>
  <si>
    <t>ostatní úroky a ostatní finanční výdaje</t>
  </si>
  <si>
    <t>účastnické poplatky za konference</t>
  </si>
  <si>
    <t>nákup kolků</t>
  </si>
  <si>
    <t xml:space="preserve">provozní výdaje </t>
  </si>
  <si>
    <t>odměny za práci – dohody, refundace mezd</t>
  </si>
  <si>
    <t>pořízení DDHM (zástěny)</t>
  </si>
  <si>
    <t>nákup kancel. potřeb, papíru</t>
  </si>
  <si>
    <t>plyn (topení ve voleb.místnosti</t>
  </si>
  <si>
    <t>elektrika (voleb. místnost)</t>
  </si>
  <si>
    <t>poštovné</t>
  </si>
  <si>
    <t>telekomunikační služby</t>
  </si>
  <si>
    <t>pronájmy</t>
  </si>
  <si>
    <t>volba prezidenta (UZ 98008)</t>
  </si>
  <si>
    <t>0299</t>
  </si>
  <si>
    <t>social.fond-služby peněžních ústavů</t>
  </si>
  <si>
    <t>výdaje sociálního fondu města</t>
  </si>
  <si>
    <t>činnost místní správy I.</t>
  </si>
  <si>
    <t>0292</t>
  </si>
  <si>
    <t>nákup mater. (kancel. potřeby, čist. prostř.)</t>
  </si>
  <si>
    <t>platby daní a poplatků krajům</t>
  </si>
  <si>
    <t>činnost místní správy II.</t>
  </si>
  <si>
    <t>6123</t>
  </si>
  <si>
    <t>VÝDAJE OVV CELKEM</t>
  </si>
  <si>
    <t>stroje,přístroje, zařízení - vyvolávací systém, frankovací stroj</t>
  </si>
  <si>
    <t>2912</t>
  </si>
  <si>
    <t>"Rozvoj služeb eGovernmentu v obcích 06" - roční provozní náklady</t>
  </si>
  <si>
    <t>přesun z r.2012 - "Rozvoj služeb eGovernmentu v obcích 06"</t>
  </si>
  <si>
    <t>2913</t>
  </si>
  <si>
    <t xml:space="preserve">projekt 09 "Zajištění přenosu dat a informací v území Statutárního města Karlovy Vary" - roční provozní náklady </t>
  </si>
  <si>
    <r>
      <rPr>
        <sz val="10"/>
        <color indexed="8"/>
        <rFont val="Calibri"/>
        <family val="2"/>
        <charset val="238"/>
      </rPr>
      <t xml:space="preserve">přesun z r. 2012 </t>
    </r>
    <r>
      <rPr>
        <b/>
        <sz val="10"/>
        <color indexed="8"/>
        <rFont val="Calibri"/>
        <family val="2"/>
        <charset val="238"/>
      </rPr>
      <t xml:space="preserve">- projekt 09 "Zajištění přenosu dat a informací v území Statutárního města Karlovy Vary" - roční provozní náklady </t>
    </r>
  </si>
  <si>
    <t>spotřeba elektřiny</t>
  </si>
  <si>
    <t>služby telekomunikací a radio.</t>
  </si>
  <si>
    <t>podnájem nebyt. prostor</t>
  </si>
  <si>
    <t>služby zpracování dat</t>
  </si>
  <si>
    <t>přesun z r.2012 - aktualizace ortofotomapy</t>
  </si>
  <si>
    <t>0296</t>
  </si>
  <si>
    <t>Projekt  09 neinvestiční náklady - nákup služeb</t>
  </si>
  <si>
    <r>
      <rPr>
        <sz val="10"/>
        <color indexed="8"/>
        <rFont val="Calibri"/>
        <family val="2"/>
        <charset val="238"/>
      </rPr>
      <t>přesun z r. 2012 -</t>
    </r>
    <r>
      <rPr>
        <b/>
        <sz val="10"/>
        <color indexed="8"/>
        <rFont val="Calibri"/>
        <family val="2"/>
        <charset val="238"/>
      </rPr>
      <t xml:space="preserve"> Projekt  09 neinvestiční náklady - nákup služeb</t>
    </r>
  </si>
  <si>
    <t>přesun z r. 2012 - Vzdělávání eGONzajištění  (UZ 33514012)</t>
  </si>
  <si>
    <t>programové vybavení</t>
  </si>
  <si>
    <t>5191</t>
  </si>
  <si>
    <t>zaplacené sankce</t>
  </si>
  <si>
    <t>poskytnuté neinv.příspěvky a náhrady</t>
  </si>
  <si>
    <t>software pro MM</t>
  </si>
  <si>
    <t>software (ekonomický inf. systém)</t>
  </si>
  <si>
    <t>výpočetní technika</t>
  </si>
  <si>
    <t>VÝDAJE OIT CELKEM</t>
  </si>
  <si>
    <t>ostatní dlouhodobý nehmotný majetek</t>
  </si>
  <si>
    <t>2911</t>
  </si>
  <si>
    <t xml:space="preserve">"Rozvoj služeb eGovernmentu v obcích 06" </t>
  </si>
  <si>
    <t xml:space="preserve">přesun z r. 2012 - "Rozvoj služeb eGovernmentu v obcích 06" </t>
  </si>
  <si>
    <t xml:space="preserve">Projekt 09 „Zajištění přenosu dat a informací v území statutárního města Karlovy Vary“ </t>
  </si>
  <si>
    <t xml:space="preserve">přesun z r.2012 - Projekt 09 „Zajištění přenosu dat a informací v území statutárního města Karlovy Vary“ </t>
  </si>
  <si>
    <t>PAR.</t>
  </si>
  <si>
    <t>POL.</t>
  </si>
  <si>
    <t>ORG.</t>
  </si>
  <si>
    <t>1064</t>
  </si>
  <si>
    <t>3311</t>
  </si>
  <si>
    <t xml:space="preserve">elektrická energie </t>
  </si>
  <si>
    <t xml:space="preserve">telekomunikační poplatky </t>
  </si>
  <si>
    <t>nákup služeb (režie, představení vč. dopravy, propagace, svoz odpadů)</t>
  </si>
  <si>
    <t>poplatky Ochrannému svazu autorskému</t>
  </si>
  <si>
    <t>Divadlo Husovka - výdaje na provoz celkem:</t>
  </si>
  <si>
    <t>3312</t>
  </si>
  <si>
    <t>1069</t>
  </si>
  <si>
    <t>neinvestiční příspěvek od města</t>
  </si>
  <si>
    <t xml:space="preserve">neinvestiční dotace z Karlovarského kraje </t>
  </si>
  <si>
    <t>5336</t>
  </si>
  <si>
    <t>neinv.dotace z Min.kultury (ÚZ 34352)</t>
  </si>
  <si>
    <t>PO KSO - neinvestiční příspěvek celkem:</t>
  </si>
  <si>
    <t>2612</t>
  </si>
  <si>
    <t>neinvestiční transfery občanským sdružením - celkem</t>
  </si>
  <si>
    <t>nepřidělené finanční prostředky</t>
  </si>
  <si>
    <t>neinvestiční transfery - ostatní zájmová činnost celkem:</t>
  </si>
  <si>
    <t>2617</t>
  </si>
  <si>
    <t>neinvestiční transfery podnikatelským subj. - fyzickým osobám - celkem</t>
  </si>
  <si>
    <t>neinvestiční transfery právnickým osobám - celkem</t>
  </si>
  <si>
    <t>neinv.transfer Infocentrum o.p.s.</t>
  </si>
  <si>
    <t>neinv. transfer - Mezinárodní pěvecké centrum A. Dvořáka v KV, o.p.s.</t>
  </si>
  <si>
    <t>neinvestiční transfery o.p.s.</t>
  </si>
  <si>
    <t>0303</t>
  </si>
  <si>
    <t>neinvestiční transfery PO ZŠ a ZUŠ Šmeralova 15 (PO města)</t>
  </si>
  <si>
    <t>0317</t>
  </si>
  <si>
    <t>neinvestiční transfery PO ZŠ Truhlářská</t>
  </si>
  <si>
    <t>neinvestiční transfer PO KK(Galerie umění KV)</t>
  </si>
  <si>
    <t>neinvestiční transfery - kultura - nespec.rezerva</t>
  </si>
  <si>
    <t>neinvestiční transfery - kultura celkem:</t>
  </si>
  <si>
    <t>2877</t>
  </si>
  <si>
    <t>neinv. transfer - Městská galerie K. Vary, s.r.o.</t>
  </si>
  <si>
    <t>2611</t>
  </si>
  <si>
    <t>neinv. transfer - o.p.s. Hvězdárna a radioklub lázeňského města</t>
  </si>
  <si>
    <t>1160</t>
  </si>
  <si>
    <t>neinv. transfer - Karlovarské městské divadlo, o.p.s.</t>
  </si>
  <si>
    <t>2630</t>
  </si>
  <si>
    <r>
      <t xml:space="preserve">neinv. transfer - Lázeňský festival </t>
    </r>
    <r>
      <rPr>
        <sz val="10"/>
        <rFont val="Calibri"/>
        <family val="2"/>
        <charset val="238"/>
      </rPr>
      <t>(České lázně v Evropě, o.p.s.)</t>
    </r>
  </si>
  <si>
    <t>2619</t>
  </si>
  <si>
    <r>
      <t xml:space="preserve">neinv. transfer - Mezinár.folklor.festival </t>
    </r>
    <r>
      <rPr>
        <sz val="10"/>
        <rFont val="Calibri"/>
        <family val="2"/>
        <charset val="238"/>
      </rPr>
      <t>(Soubor písní a tanců Dyleň KV o.s.)</t>
    </r>
  </si>
  <si>
    <t>2621</t>
  </si>
  <si>
    <t>2616</t>
  </si>
  <si>
    <r>
      <t xml:space="preserve">neinv. transfer- Mezinárodní jazzový festival </t>
    </r>
    <r>
      <rPr>
        <sz val="10"/>
        <rFont val="Calibri"/>
        <family val="2"/>
        <charset val="238"/>
      </rPr>
      <t>(Jazzový kruh, o.s.)</t>
    </r>
  </si>
  <si>
    <t>3313</t>
  </si>
  <si>
    <t>2879</t>
  </si>
  <si>
    <r>
      <t>neinv. transfer - MFF</t>
    </r>
    <r>
      <rPr>
        <sz val="10"/>
        <rFont val="Calibri"/>
        <family val="2"/>
        <charset val="238"/>
      </rPr>
      <t xml:space="preserve"> (Nadace FILM FESTIVAL K. Vary)</t>
    </r>
  </si>
  <si>
    <t>2618</t>
  </si>
  <si>
    <t>neinv. transfer - CzechTourism, st. přís.org. - TOURFILM 2011</t>
  </si>
  <si>
    <t>1063</t>
  </si>
  <si>
    <r>
      <t xml:space="preserve">Program "Kulturní léto" </t>
    </r>
    <r>
      <rPr>
        <sz val="10"/>
        <rFont val="Calibri"/>
        <family val="2"/>
        <charset val="238"/>
      </rPr>
      <t>(mj. Den dětí, Goodfest, FLORES)</t>
    </r>
  </si>
  <si>
    <t>2875</t>
  </si>
  <si>
    <t xml:space="preserve">podpora významných kulturních, společenských a sportovních akcí </t>
  </si>
  <si>
    <t>1150</t>
  </si>
  <si>
    <t>Dostihové závody a Cena města</t>
  </si>
  <si>
    <t>1151</t>
  </si>
  <si>
    <t>pronájem plochy pro reklamní stojany</t>
  </si>
  <si>
    <t>konzultační, poradenské a právní služby, poplatky</t>
  </si>
  <si>
    <t>MFF - večer města - ostatní služby</t>
  </si>
  <si>
    <t>autobus.doprava během MFF (mimoř.linky)</t>
  </si>
  <si>
    <t>0265</t>
  </si>
  <si>
    <t>neinv.tr. -kult. Vzděl. dětí a mládeže (Libor Balák)</t>
  </si>
  <si>
    <t>3322</t>
  </si>
  <si>
    <t>Památky - nákup materiálů (mj. fotoalba, filmy)</t>
  </si>
  <si>
    <t xml:space="preserve">Památky - ostatní služby </t>
  </si>
  <si>
    <t>Památky - opravy a udržování</t>
  </si>
  <si>
    <t>Památky - oprava Dorothein chrámek vévodkyně Kurónské (ÚZ 721)</t>
  </si>
  <si>
    <t>Památky - UNESCO - zpracování tématických studií</t>
  </si>
  <si>
    <t>Památky - neinv. transfer na opravu kostela sv. Anny v Sedleci</t>
  </si>
  <si>
    <t>Památky - realizace programu regenerace památkové zony</t>
  </si>
  <si>
    <t>Památky - program regenerace památkové zóny</t>
  </si>
  <si>
    <t>5366</t>
  </si>
  <si>
    <t>Ostatní činnosti OKŠT - kultura a památky celkem:</t>
  </si>
  <si>
    <t>0260</t>
  </si>
  <si>
    <t>neinv.transr. podnik.osobám - FO</t>
  </si>
  <si>
    <t>neinv.transr. - Smajlík,s.r.o.</t>
  </si>
  <si>
    <t>neinv.transr.o.s.</t>
  </si>
  <si>
    <t>neinv.transr. ostat. nezisk. organizacím</t>
  </si>
  <si>
    <t>0391</t>
  </si>
  <si>
    <t>neinv.transr. - 2. Mateřská škola</t>
  </si>
  <si>
    <t>0230</t>
  </si>
  <si>
    <t>neinv.transr. - ZŠ a ZUŠ Šmeralova 336/15</t>
  </si>
  <si>
    <t>0311</t>
  </si>
  <si>
    <t>neinv.transr. - ZŠ Poštovní 19</t>
  </si>
  <si>
    <t>0312</t>
  </si>
  <si>
    <t>neinv.transr. - ZŠ Konečná</t>
  </si>
  <si>
    <t>neinv.transr. - ZŠ Truhlářská 19, Karlovy Vary</t>
  </si>
  <si>
    <t>volnočasové aktivity - neinv.transf. a příspěvky</t>
  </si>
  <si>
    <t>0267</t>
  </si>
  <si>
    <t>tisk</t>
  </si>
  <si>
    <t>5157</t>
  </si>
  <si>
    <t>telekomunikační poplatky</t>
  </si>
  <si>
    <t>provoz Městské knihovny K.Vary celkem</t>
  </si>
  <si>
    <t>HC ENERGIE-neinvest.transfer-prov.,sl.mládež.hokeje</t>
  </si>
  <si>
    <t>TK Lokomotiva Karlovy Vary</t>
  </si>
  <si>
    <t>1.FC Karlovy Vary, a.s.</t>
  </si>
  <si>
    <t>TJ KSNP Sedlec - EUROSPORTRING</t>
  </si>
  <si>
    <t>SK Liapor - nohejbal, extraliga muži, provoz</t>
  </si>
  <si>
    <t>BK Lokomotiva K. Vary</t>
  </si>
  <si>
    <t>0380</t>
  </si>
  <si>
    <t>neinv.tr. SPORTGEN,o.s.</t>
  </si>
  <si>
    <t>neinv.tr. K.V.stěna, o.s.</t>
  </si>
  <si>
    <t>neinv.tr. SOU strav. a služeb KV</t>
  </si>
  <si>
    <t>neinv.tr. Dům dětí a mládeže KV- Příměst.tábor</t>
  </si>
  <si>
    <t>prázdninové aktivity - neinv.transfery</t>
  </si>
  <si>
    <t>Sportovní klub vozíčkářů Sharks</t>
  </si>
  <si>
    <t>SK Kontakt Karlovy Vary</t>
  </si>
  <si>
    <t>Asociace záchranný kruh (Den záchranářů)</t>
  </si>
  <si>
    <t>neinvestiční dotace - sport</t>
  </si>
  <si>
    <t>2615</t>
  </si>
  <si>
    <t>neinv,transfery nefin.podnikat.-práv.osobám</t>
  </si>
  <si>
    <t>neinv.transfery o.s.</t>
  </si>
  <si>
    <t>ost. významné sportovní akce</t>
  </si>
  <si>
    <t>1410</t>
  </si>
  <si>
    <t>neinv.tr. HC Energie,s.r.o.</t>
  </si>
  <si>
    <t>2614</t>
  </si>
  <si>
    <t>neinv.tr.SportGroup.cz,s.r.o.</t>
  </si>
  <si>
    <t>neinv.tr. HigBic,s.r.o.</t>
  </si>
  <si>
    <t>neinv.tr. BUC - FILM,s.r.o.</t>
  </si>
  <si>
    <t>neinv.tr. CITY GOLF &amp; RACING CLUB,s.r.o.</t>
  </si>
  <si>
    <t>1402</t>
  </si>
  <si>
    <t>neinv.tr.Svaz mažoretek Karlovy Vary</t>
  </si>
  <si>
    <t>neinv,tr. SK Hubertus Karlovy Vary</t>
  </si>
  <si>
    <t>1415</t>
  </si>
  <si>
    <t>neinv.tr.TJ Lokomotiva Karlovy Vary</t>
  </si>
  <si>
    <t>neinv.tr. občanským sdružením</t>
  </si>
  <si>
    <t>ostatní neinv.tr.nezisk. a podob. oraganizacím</t>
  </si>
  <si>
    <t>neinv.tr. - 1. MŠ Komenského 7, K. Vary</t>
  </si>
  <si>
    <t>neinv.tr. - 2. MŠ Krušnohorská 16, K. Vary</t>
  </si>
  <si>
    <t>0306</t>
  </si>
  <si>
    <t>neinv.tr. - ZŠ Dukelských hrdinů, Karlovy Vary</t>
  </si>
  <si>
    <t>neinv.tr. - ZŠ J.A.K.,Kollárova, Karlovy Vary</t>
  </si>
  <si>
    <t>neinv.tr. - ZŠ Konečná, Karlovy Vary</t>
  </si>
  <si>
    <t>neinv.tr. - ZŠ Truhlářská 19, Karlovy Vary</t>
  </si>
  <si>
    <t>neinv.tr. - První české gymnázium v KV</t>
  </si>
  <si>
    <t>neinv.tr. Dům dětí a mládeže Karlovy Vary, (cizí PO)</t>
  </si>
  <si>
    <t>neinv.tr. Dětský diagnostický ústav - středisko výchovné péče (cizí PO)</t>
  </si>
  <si>
    <t>granty na sport</t>
  </si>
  <si>
    <t>neinv.příspěvek KV ARENA (provozní dotace)</t>
  </si>
  <si>
    <t>4031</t>
  </si>
  <si>
    <t>neinv.příspěvek KV ARENA (podpora význam.kult.akcí)</t>
  </si>
  <si>
    <t>vyhlášení nejlepšího sportovce roku - služby</t>
  </si>
  <si>
    <t>5492</t>
  </si>
  <si>
    <t>vyhlášení nejlepšího sportovce roku - dary</t>
  </si>
  <si>
    <t>vyhlášení nejlepšího sportovce roku</t>
  </si>
  <si>
    <t xml:space="preserve"> tělovýchova a sport celkem</t>
  </si>
  <si>
    <t>neinv.příspěvek PO - ZŠ Mozartova</t>
  </si>
  <si>
    <t>neinv.příspěvek PO - ZŠ a ZUŠ Šmeralova</t>
  </si>
  <si>
    <t>neinv. přísp. EU,KK, SR - PO ZŠ a ZUŠ Šmeralova(UZ716,710,720)</t>
  </si>
  <si>
    <t>0304</t>
  </si>
  <si>
    <t xml:space="preserve">neinv.příspěvek PO - ZŠ 1.máje </t>
  </si>
  <si>
    <t>neinv. transf. z EU pro ZŠ 1. máje (UZ 719)</t>
  </si>
  <si>
    <t>0305</t>
  </si>
  <si>
    <t>neinv.příspěvek PO - ZŠ jazyků, Libušina</t>
  </si>
  <si>
    <t>neinv. transf. EU,KK, SR - ZŠ jazyků (UZ 7xx)</t>
  </si>
  <si>
    <t>neinv.příspěvek PO - ZŠ DH, Moskevská</t>
  </si>
  <si>
    <t>neinv.příspěvek PO - ZŠ JAK, Kollárova</t>
  </si>
  <si>
    <t>neinv. transf. KK, SR - PO ZŠ Kollárova  (UZ 7xx)</t>
  </si>
  <si>
    <t>neinv.příspěvek PO - ZŠ Poštovní</t>
  </si>
  <si>
    <t>neinv. přísp. KK, SR - PO ZŠ Poštovní (UZ 716)</t>
  </si>
  <si>
    <t>neinv.příspěvek PO - ZŠ Konečná</t>
  </si>
  <si>
    <t>neinv. přísp. KK, SR -  PO ZŠ Konečná(UZ 716)</t>
  </si>
  <si>
    <t>0314</t>
  </si>
  <si>
    <t>neinv.příspěvek PO - ZŠ Krušnohorská</t>
  </si>
  <si>
    <t>neinv. přísp. EU,KK, SR - PO ZŠ Krušnohorská (UZ 716,720)</t>
  </si>
  <si>
    <t>vratky dotací neinv.transf.- PO ZŠ Krušnohorská</t>
  </si>
  <si>
    <t>neinv.příspěvek PO - ZŠ Truhlářská</t>
  </si>
  <si>
    <t>neinv. přísp. KK, SR - PO ZŠ Truhlářská)(UZ 716)</t>
  </si>
  <si>
    <t>neinv.příspěvek PO - 1. MŠ Komenského</t>
  </si>
  <si>
    <t>neinv.příspěvek PO - 2. MŠ Krušnohorská</t>
  </si>
  <si>
    <t>0300</t>
  </si>
  <si>
    <t>neinv.transfer - Waldorfská ZŠ v KV, o.s.</t>
  </si>
  <si>
    <t>investiční transfer KV Arena - nákup vybavení</t>
  </si>
  <si>
    <t>inv. transf. EU, KK, SR - PO ZŠ Kollárova  (UZ 7xx)</t>
  </si>
  <si>
    <t>VÝDAJE OKŠT CELKEM</t>
  </si>
  <si>
    <t>4300</t>
  </si>
  <si>
    <t>2873</t>
  </si>
  <si>
    <t>Infocentrum města K.Vary,o.p.s. - neinv.tr.</t>
  </si>
  <si>
    <t>Thermia Karlovy Vary,o.s. (ÚZ 037)</t>
  </si>
  <si>
    <t>DYLEŇ,o.s.</t>
  </si>
  <si>
    <t>TJ KSNP Sedlec,o.s. (ÚZ 580)</t>
  </si>
  <si>
    <t>Karlovarský šachklub Tietz,o.s. (ÚZ 021)</t>
  </si>
  <si>
    <t>0302</t>
  </si>
  <si>
    <t>ZŠ jazyků</t>
  </si>
  <si>
    <t>ZŠ Truhlářská</t>
  </si>
  <si>
    <t>ZŠ a ZUŠ Šmeralova,p.o. (ÚZ 181)</t>
  </si>
  <si>
    <t>Luboš Zahradníček (FO)</t>
  </si>
  <si>
    <t>neinv.transf.-podpora aktivit k partner.městům, lázeňství a cest.ruch</t>
  </si>
  <si>
    <t>5041</t>
  </si>
  <si>
    <t>odměny za duševní vlastnictví</t>
  </si>
  <si>
    <t>léky, zdravotnický materiál</t>
  </si>
  <si>
    <t>nákup materiálu - kancelářské potřeby</t>
  </si>
  <si>
    <t>služby školení a vzdělávání,školení zastupitelů</t>
  </si>
  <si>
    <t>nákup ost.služeb (a mezinárodní vztahy)</t>
  </si>
  <si>
    <t xml:space="preserve">pohoštění </t>
  </si>
  <si>
    <t>dary obyvatelstvu</t>
  </si>
  <si>
    <t>dary novomanželům</t>
  </si>
  <si>
    <t>3349</t>
  </si>
  <si>
    <t>on-line přenosy ZM</t>
  </si>
  <si>
    <t>poplatky</t>
  </si>
  <si>
    <t>nákup ost. služeb (PR města)</t>
  </si>
  <si>
    <t>tiskové propag. materiály</t>
  </si>
  <si>
    <t>prezentace města - ostatní služby</t>
  </si>
  <si>
    <t>věcné dary (soutěže, kulturní akce, ocenění)</t>
  </si>
  <si>
    <t>pohoštění - večery města</t>
  </si>
  <si>
    <t>podpora cest .ruchu-prorůstová opatř. CR</t>
  </si>
  <si>
    <t>5210</t>
  </si>
  <si>
    <t>Kraj.asoc.kongr.turistiky (Calsbad Convention Bureau)</t>
  </si>
  <si>
    <t>neinv. transf.- Balneologický institut KV o.p.s</t>
  </si>
  <si>
    <t>2143</t>
  </si>
  <si>
    <t>Projekt Clara</t>
  </si>
  <si>
    <t>ostatní běžné výdaje odboru</t>
  </si>
  <si>
    <t>1101</t>
  </si>
  <si>
    <t>Karlovarské radniční listy (KRL)</t>
  </si>
  <si>
    <t>VÝDAJE OKP CELKEM</t>
  </si>
  <si>
    <t>inv.tr. - Zdrav.záchr.služby KK - přístroj</t>
  </si>
  <si>
    <t>OKP - ostatní běžné výdaje odboru</t>
  </si>
  <si>
    <t>neinv.transfery - podpora aktivit k part.městům,láz.,cest.ruch</t>
  </si>
  <si>
    <t>4300,5210</t>
  </si>
  <si>
    <t>37xx,1036</t>
  </si>
  <si>
    <t>OVV - stroje,přístroje, zařízení - vyvolávací systém, frankovací stroj</t>
  </si>
  <si>
    <t>OVV - dopravní prostředky</t>
  </si>
  <si>
    <t xml:space="preserve">Projekt 09 „Zaji. přenosu dat a info. v úz. stat.města Karlovy Vary“ </t>
  </si>
  <si>
    <t>kabelové rozvody MM II.</t>
  </si>
  <si>
    <t>projekt "Konsolidace ICT"</t>
  </si>
  <si>
    <t>OIT - běžné výdaje</t>
  </si>
  <si>
    <t>2622</t>
  </si>
  <si>
    <t>neinv. transfer - Karlovarský karneval 2014</t>
  </si>
  <si>
    <r>
      <rPr>
        <b/>
        <sz val="10"/>
        <rFont val="Calibri"/>
        <family val="2"/>
        <charset val="238"/>
      </rPr>
      <t>kultura - ostatní služby</t>
    </r>
    <r>
      <rPr>
        <sz val="10"/>
        <rFont val="Calibri"/>
        <family val="2"/>
        <charset val="238"/>
      </rPr>
      <t xml:space="preserve"> (MFF,Fest.noc,Kronika,Den seniorů,Den památek,Prázdninové aktivity dětí)</t>
    </r>
  </si>
  <si>
    <t>vratka neinv.dotace KK</t>
  </si>
  <si>
    <t>PRÁV - běžné výdaje</t>
  </si>
  <si>
    <t>Divadlo Husovka</t>
  </si>
  <si>
    <t xml:space="preserve">PO KSO - neinvestiční příspěvek </t>
  </si>
  <si>
    <t>neinvestiční transfery - ostatní zájmová činnost</t>
  </si>
  <si>
    <t>neinvestiční transfery - kultura</t>
  </si>
  <si>
    <t>neinv. transfer - Lázeňský festival (České lázně v Evropě, o.p.s.)</t>
  </si>
  <si>
    <t>neinv. transfer - Mezinár.folklor.festival (Soubor písní a tanců Dyleň KV o.s.)</t>
  </si>
  <si>
    <t>neinv. transfer - MFF (Nadace FILM FESTIVAL K. Vary)</t>
  </si>
  <si>
    <t>ostatní činnosti OKŠT - kultura a památky</t>
  </si>
  <si>
    <t xml:space="preserve">Program "Kulturní léto" </t>
  </si>
  <si>
    <t>neinv. transfer - CzechTourism, - TOURFILM 2011</t>
  </si>
  <si>
    <t>neinv. transfer- Mezinár. Jazz. fest. (Jazzový kruh, o.s.)</t>
  </si>
  <si>
    <t>neinv. transfer - Mezinár. pěvecké centrum A. Dvořáka v KV, o.p.s.</t>
  </si>
  <si>
    <t>neinv.tr. na volnočasové aktivity celkem</t>
  </si>
  <si>
    <t xml:space="preserve">neinv.tr. na volnočasové aktivity </t>
  </si>
  <si>
    <t>provoz Městské knihovny K.Vary</t>
  </si>
  <si>
    <t>0262,1151</t>
  </si>
  <si>
    <t>xxxx</t>
  </si>
  <si>
    <t>neinv. přísp. EU,KK, SR - PO ZŠ Krušnohorská (UZ 7xx)</t>
  </si>
  <si>
    <t>kultura</t>
  </si>
  <si>
    <t>tělovýchova a zájmová činnost</t>
  </si>
  <si>
    <t>sběr a svoz separovaného  odpadu/AVE CZ</t>
  </si>
  <si>
    <t>sběr a svoz velkoobjemové kontejnery</t>
  </si>
  <si>
    <t>chodníky - Sedlec - Růžový vrch</t>
  </si>
  <si>
    <t>chodníky - Čankov</t>
  </si>
  <si>
    <t>Na Vyhlídce -úprava komunikace - Odvodnění svahů v ulici Na Vyhlídce</t>
  </si>
  <si>
    <t>Rosnice - rekonstrukce místní komunikace</t>
  </si>
  <si>
    <t>Ulice Východní - rozšíření parkoviště</t>
  </si>
  <si>
    <t>Ulice Krymská - stavební úpravy</t>
  </si>
  <si>
    <t>Ulice Kollárova - parkovací stání</t>
  </si>
  <si>
    <t>Ulice Moravská, Hynaisova a nám. Svobody</t>
  </si>
  <si>
    <t>Ulice Ondříčkova - opěrná zeď,vč.zábradlí</t>
  </si>
  <si>
    <t>Husovo náměstí - úprava nádvoří</t>
  </si>
  <si>
    <t>Divadlo Husovka - odvlhčení a sanace objektu, obnova fasády</t>
  </si>
  <si>
    <t>ZŠ Poštovní - zázemí správce areálu</t>
  </si>
  <si>
    <t>ZŠ Truhlářská - sanace zdiva</t>
  </si>
  <si>
    <t>ZŠ Šmeralova - rekonstrukce střechy a půdní vestavba</t>
  </si>
  <si>
    <t>MŠ Mládežnická - zajištění energ.úspor</t>
  </si>
  <si>
    <t>MMKV II. , U spořitelny 2</t>
  </si>
  <si>
    <t>IPRM - výst. krytého plav. bazénu, lávka, parkoviště-dofakturace</t>
  </si>
  <si>
    <t>IPRM  IOP - Smetanova, Hlávkova</t>
  </si>
  <si>
    <t>IPRM  IOP - chodníky</t>
  </si>
  <si>
    <t>Se zahradou do přírody</t>
  </si>
  <si>
    <t>rekonstrukce tržních krámků</t>
  </si>
  <si>
    <t>Hvězdárna - TZ budovy</t>
  </si>
  <si>
    <t>rekonstrukce Lázeňská 14 - Infocentrum</t>
  </si>
  <si>
    <t>ZŠ Truhlářská - zajištění ener.úspor</t>
  </si>
  <si>
    <t>ZŠ 1.máje- zajištění ener.úspor</t>
  </si>
  <si>
    <t>AL - přívod tepla</t>
  </si>
  <si>
    <t>VO Na Stezce</t>
  </si>
  <si>
    <t>VO Plzeňská</t>
  </si>
  <si>
    <t>VO výměna rozvaděčů</t>
  </si>
  <si>
    <t>PO LL - manipulační sklad-stroj.vybavení</t>
  </si>
  <si>
    <t>PO SPLZaK - příprava nového jímání Vřídla PD</t>
  </si>
  <si>
    <t>PO SLP - Rek. kolumbárií Růžový vrch - I.etapa</t>
  </si>
  <si>
    <t>PO SLP - Rek. kolumbárií Růžový vrch - II.etapa</t>
  </si>
  <si>
    <t>PO LL - Branaldova stezka</t>
  </si>
  <si>
    <t>PO SLP - Hofské parky</t>
  </si>
  <si>
    <t>Odbor</t>
  </si>
  <si>
    <t>Obecný živnostenský úřad</t>
  </si>
  <si>
    <t>Odbor strategií a dotací</t>
  </si>
  <si>
    <t>Odbor úřad územ. plánování a stavební úřad</t>
  </si>
  <si>
    <t>CELKOVÉ VÝDAJE CELKEM</t>
  </si>
  <si>
    <t>Urbanistické řešení centra K.Varů</t>
  </si>
  <si>
    <t>Ulice Na Vyhlídce - úprava komunikace</t>
  </si>
  <si>
    <t xml:space="preserve"> tech.zařízení pro výběr míst.popl. za povolení k vjezdu</t>
  </si>
  <si>
    <t>Projekty EU IOP - Stará Role, veřejná prostranství</t>
  </si>
  <si>
    <t>Revitalizace veř.prostor St. Role - Závodu míru (vnitrobloky)</t>
  </si>
  <si>
    <t>22xx</t>
  </si>
  <si>
    <t>221x</t>
  </si>
  <si>
    <t xml:space="preserve">vzdělávání </t>
  </si>
  <si>
    <t>rozdíl</t>
  </si>
  <si>
    <t>investiční půjčené prostředky PO Lázeňské Lesy (předfinancování projektu "Branaldova stezka")</t>
  </si>
  <si>
    <t>investiční půjčené prostředky PO Správa lázeňských parků (předfinancování projektu "Hofské parky")</t>
  </si>
  <si>
    <t>0</t>
  </si>
  <si>
    <t xml:space="preserve">VÁZANÉ VÝDAJE </t>
  </si>
  <si>
    <t>z toho:</t>
  </si>
  <si>
    <t>poplatek OSA</t>
  </si>
  <si>
    <t>věcné dary - vítání občánků</t>
  </si>
  <si>
    <t>6901</t>
  </si>
  <si>
    <t>celkem</t>
  </si>
  <si>
    <t>rekap</t>
  </si>
  <si>
    <t>parkoviště celkem</t>
  </si>
  <si>
    <t>VO Doubí - Nová celkem</t>
  </si>
  <si>
    <t>PO SPLZaK - havarijní stav akumul.nádrže a krenotechniky</t>
  </si>
  <si>
    <t>Ažbětiny lázně - přívod tepla</t>
  </si>
  <si>
    <t>výměna provoz.zaříz.MD (vzduch.clona ústupu)</t>
  </si>
  <si>
    <t>inv.dot PO LL (předfinancování projektu "Branaldova stezka")</t>
  </si>
  <si>
    <t>MMKV II. , U spořitelny 2-rek. elektroinstalace chodeb</t>
  </si>
  <si>
    <t>Odb.kultury, školství a tělovýchovy</t>
  </si>
  <si>
    <t>Odb.úřad územ. plánování a stavební úřad</t>
  </si>
  <si>
    <t>3412</t>
  </si>
  <si>
    <t>MM II-rek.rozvodů pitné vody</t>
  </si>
  <si>
    <t>kopírovací stroj - archiv</t>
  </si>
  <si>
    <t>inv.transf.zdrav.záchr.sl.-přístroj</t>
  </si>
  <si>
    <t>inv.dot. PO Správa lázeňských parků (předfinancování projektu "Hofské lesoparky")</t>
  </si>
  <si>
    <t>3536</t>
  </si>
  <si>
    <t>4023</t>
  </si>
  <si>
    <t>3513</t>
  </si>
  <si>
    <t>MMKV úprava hlavního vchodu</t>
  </si>
  <si>
    <t>MMK úprava hlavního vchodu</t>
  </si>
  <si>
    <t>Cyklostezka InterSpar - Svatošské skály</t>
  </si>
  <si>
    <t>v tis. Kč</t>
  </si>
  <si>
    <t>PŘÍJMY</t>
  </si>
  <si>
    <t>FINANCOVÁNÍ</t>
  </si>
  <si>
    <t xml:space="preserve">z toho:  vlastní finanční zdroje </t>
  </si>
  <si>
    <t xml:space="preserve">              úvěr na dofinancování dot.akcí ROP</t>
  </si>
  <si>
    <t>celkové zdroje</t>
  </si>
  <si>
    <t>BĚŽNÉ VÝDAJE</t>
  </si>
  <si>
    <t>KAPITÁLOVÉ VÝDAJE</t>
  </si>
  <si>
    <t>celkové výdaje rozpočtu</t>
  </si>
  <si>
    <t>Kapitálové výdaje, u kterých ZM schválilo předfinancování v příp. schválení dotace z ROP</t>
  </si>
  <si>
    <t>předfinancování</t>
  </si>
  <si>
    <t>financování akce</t>
  </si>
  <si>
    <t>podíl města</t>
  </si>
  <si>
    <t>dotace ROP/SR</t>
  </si>
  <si>
    <t>IPRM ROP - Centrum zdraví a bezpečí</t>
  </si>
  <si>
    <t>IPRM ROP - Hala pro míčové sporty</t>
  </si>
  <si>
    <t>Omezení prašnosti silnic</t>
  </si>
  <si>
    <t>eURB -elektrokola</t>
  </si>
  <si>
    <t>Civitas - elektrobusy</t>
  </si>
  <si>
    <t>Bezbariérové trasy</t>
  </si>
  <si>
    <t>Husovka - okna</t>
  </si>
  <si>
    <t>Mattoniho nábřeží</t>
  </si>
  <si>
    <t>Zavádění ICT</t>
  </si>
  <si>
    <t>Plavecký bazén</t>
  </si>
  <si>
    <t xml:space="preserve">Skalní masív - Slovenská + Vřídelní ul. </t>
  </si>
  <si>
    <t>IPRM IOP - Smetanova, Hlávkova</t>
  </si>
  <si>
    <t>IPRM IOP - Chodníky</t>
  </si>
  <si>
    <t>Branaldova stezka (dotace a půjčka PO LL)</t>
  </si>
  <si>
    <t>Hofské parky (dotace a půjčka PO SLP)</t>
  </si>
  <si>
    <t>ZŠ 1. máje</t>
  </si>
  <si>
    <t>ZŠ Mozartova</t>
  </si>
  <si>
    <t>jmenovité kapitálové výdaje celkem</t>
  </si>
  <si>
    <t>ostatní kapitálové výdaje celkem</t>
  </si>
  <si>
    <t>Invest.transfer Karlovarskému kraji na "Revitalizaci Císařských lázní" (schvál. ZM 21.6.2011)</t>
  </si>
  <si>
    <t>ostatní kapitálové výdaje odborů</t>
  </si>
  <si>
    <t>Běžné výdaje - dotace</t>
  </si>
  <si>
    <t>prevence kriminality</t>
  </si>
  <si>
    <t>VÝDAJE CELKEM</t>
  </si>
  <si>
    <t>Invest.přísp. ZK ALŽBĚTINY LÁZNĚ a.s. 2013</t>
  </si>
  <si>
    <t>- bude realizován jen v případě získané dotace</t>
  </si>
  <si>
    <t>Projekt "Zavádění ICT" bude při realizaci rozdělen na běžné a kapitálové výdaje, částka zůstane zachována.</t>
  </si>
  <si>
    <t>výdaje 2014 ale dotace až 2015</t>
  </si>
  <si>
    <t>pol.</t>
  </si>
  <si>
    <r>
      <t xml:space="preserve">P Ř Í J M Y                                                           </t>
    </r>
    <r>
      <rPr>
        <sz val="10"/>
        <rFont val="Cambria"/>
        <family val="1"/>
        <charset val="238"/>
      </rPr>
      <t>(v tisících Kč)</t>
    </r>
  </si>
  <si>
    <t>Skutečnost 2012</t>
  </si>
  <si>
    <t>Podíl z výnosu daně z příjmů FO ze závislé čin. a funkčních požitků</t>
  </si>
  <si>
    <t>Podíl z výnosu daně z příjmů FO ze samostatné výdělečné činnosti</t>
  </si>
  <si>
    <t>Podíl z výnosu daně z příjmů FO z kapitálových výnosů</t>
  </si>
  <si>
    <t>Daně z příjmů fyzických osob (FO) - celkem</t>
  </si>
  <si>
    <t>Podíl z výnosu daně z příjmů právnických osob</t>
  </si>
  <si>
    <t>Daně z příjmů práv. os. za město - hospodářská činnost</t>
  </si>
  <si>
    <t>Daně z příjmů práv.os. za město - hlavní činnost</t>
  </si>
  <si>
    <t>Daně z příjmů právnických osob - celkem</t>
  </si>
  <si>
    <t>Podíl z výnosu daně z přidané hodnoty</t>
  </si>
  <si>
    <t>Poplatky a odvody v oblasti životního prostředí</t>
  </si>
  <si>
    <t xml:space="preserve">Poplatek ze psů                                             </t>
  </si>
  <si>
    <t>Poplatek za lázeňský nebo rekreační  pobyt</t>
  </si>
  <si>
    <t xml:space="preserve">Poplatek za užívání veřejného prostranství   </t>
  </si>
  <si>
    <t xml:space="preserve">Poplatek z ubytovací kapacity                       </t>
  </si>
  <si>
    <t xml:space="preserve">Poplatek za povolení k vjezdu do vybraných míst       </t>
  </si>
  <si>
    <t xml:space="preserve">Poplatek za provozovaný výherní hrací přístroj </t>
  </si>
  <si>
    <t>Místní poplatky - celkem</t>
  </si>
  <si>
    <t xml:space="preserve">Odvod výtěžku z provozování loterií (VHP) na veřejně prospěšné účely </t>
  </si>
  <si>
    <t>Odvod z loterií a podobných her</t>
  </si>
  <si>
    <t xml:space="preserve">Příjmy za zkoušky z odborné způsobilosti od žadat. o řidič.oprávnění </t>
  </si>
  <si>
    <t>Odvod z VHP a JTHZ</t>
  </si>
  <si>
    <t xml:space="preserve">Ostatní odvody z vybraných činností a služeb </t>
  </si>
  <si>
    <t>Ostatní odvody z vybraných činností a služeb - celkem</t>
  </si>
  <si>
    <t xml:space="preserve">Správní poplatky                                         </t>
  </si>
  <si>
    <t>Daň z nemovitostí nacházejících se na území města</t>
  </si>
  <si>
    <t xml:space="preserve"> DAŇOVÉ PŘÍJMY</t>
  </si>
  <si>
    <t>Příjmy z poskytování služeb - odpadové hospodářství</t>
  </si>
  <si>
    <t>Příjmy z poskytování služeb - parkovací automaty</t>
  </si>
  <si>
    <t>Ostatní příjmy z poskytování služeb</t>
  </si>
  <si>
    <t xml:space="preserve">Příjmy z vlastní činnosti - odtahy vozidel </t>
  </si>
  <si>
    <t>Věcná břemena</t>
  </si>
  <si>
    <t>Příjmy z pronájmu pozemků</t>
  </si>
  <si>
    <t>Příjmy z pronájmu ost.nemovitostí a jejich částí</t>
  </si>
  <si>
    <t>Příjmy z pronájmu movitých věcí</t>
  </si>
  <si>
    <t>Ostatní příjmy z pronájmů</t>
  </si>
  <si>
    <t xml:space="preserve">Příjmy z úroků                  </t>
  </si>
  <si>
    <t>Příjmy z podílu na zisku a dividend (Karlovarská teplárenská a.s.)</t>
  </si>
  <si>
    <t>Příjmy z vlastní činnosti - celkem</t>
  </si>
  <si>
    <t>Sankční platby přijaté státu, krajů a obcí</t>
  </si>
  <si>
    <t xml:space="preserve">Sankční platby přijaté od jiných subjektů </t>
  </si>
  <si>
    <t xml:space="preserve">Ost.příjmy z fin. vypoř.předchozích let od jiných veřej. rozp. (DPH) </t>
  </si>
  <si>
    <t xml:space="preserve">Ostatní přijaté vratky transferů  </t>
  </si>
  <si>
    <t>Přijaté sankční platby a vratky transferů - celkem</t>
  </si>
  <si>
    <t>Přijaté neinvestiční dary</t>
  </si>
  <si>
    <t xml:space="preserve">Přijaté pojistné náhrady                  </t>
  </si>
  <si>
    <t>Přijaté nekapitálové příspěvky a náhrady</t>
  </si>
  <si>
    <t>Neidentifikovatelné příjmy</t>
  </si>
  <si>
    <t xml:space="preserve">Ostatní nedaňové příjmy </t>
  </si>
  <si>
    <t>Příjmy z úhrad dobývacího prostoru a z vydobytých nerostů</t>
  </si>
  <si>
    <t>Příjmy z prodeje nekapitálového majetku a ost.nedaň.příjmy - celkem</t>
  </si>
  <si>
    <t>Splátky půjčených prostředků od právnických osob</t>
  </si>
  <si>
    <t>Splátky půjčených prostředků od o.p.s. a podobných subj.</t>
  </si>
  <si>
    <t xml:space="preserve">Splátky půjček od obyvatelstva </t>
  </si>
  <si>
    <t>Příjmy od dlužníků za realizaci záruk</t>
  </si>
  <si>
    <t>Přijaté splátky půjčených prostředků - celkem</t>
  </si>
  <si>
    <t xml:space="preserve"> NEDAŇOVÉ PŘÍJMY</t>
  </si>
  <si>
    <t>Příjmy z prodeje pozemků/VÁZANÉ PŘÍJMY</t>
  </si>
  <si>
    <t>Příjmy z prodeje ost.nemovitostí//VÁZANÉ PŘÍJMY</t>
  </si>
  <si>
    <t>Příjmy z prodeje ostatního hmotného dlouhodobého majetku</t>
  </si>
  <si>
    <t xml:space="preserve"> KAPITÁLOVÉ PŘÍJMY</t>
  </si>
  <si>
    <t>- příspěvek na školství</t>
  </si>
  <si>
    <t>- příspěvek na výkon státní správy</t>
  </si>
  <si>
    <t>- příspěvek na výkon státní správy - rozšířená působnost</t>
  </si>
  <si>
    <t>Neinv. transfery ze SR v rámci souhrnného dotačního vztahu - celkem</t>
  </si>
  <si>
    <t xml:space="preserve">Neinvest.přijaté transfery z všeobecné pokladní správy SR </t>
  </si>
  <si>
    <t>Neinvest.přijaté transfery z ze státních fondů</t>
  </si>
  <si>
    <t xml:space="preserve">Neinvest.přijaté transfery ze SR - příspěvek na péči </t>
  </si>
  <si>
    <t xml:space="preserve">Neinvest.transf.na dávky soc. péče a dávky pomoci v hmotné nouzi </t>
  </si>
  <si>
    <t xml:space="preserve">Ostatní neinvestiční přijaté transfery ze SR  </t>
  </si>
  <si>
    <t>Ostatní neinvestiční přijaté transfery od rozp.střední úrovně</t>
  </si>
  <si>
    <t>Ostat. neinv.přijaté transfery ze státního rozpočtu - celkem</t>
  </si>
  <si>
    <t>Neinvestiční při. transfery od obcí na dojíždějící žáky do ZŠ+MŠ</t>
  </si>
  <si>
    <t>Neinvestiční přijaté transfery od Karlovarského kraje/granty EU</t>
  </si>
  <si>
    <t>Převody z účtů hospodářské činnosti (vedlejší)</t>
  </si>
  <si>
    <t>Ostatní neinvestiční přijaté transfery a převody - celkem</t>
  </si>
  <si>
    <t xml:space="preserve">Investiční přijaté transfery z všeobecné pokladní správy SR </t>
  </si>
  <si>
    <t xml:space="preserve">Investiční přijaté transfery ze státních fondů </t>
  </si>
  <si>
    <t xml:space="preserve">Ostatní invest.přij.transfery </t>
  </si>
  <si>
    <t>Investiční přijaté transfery od Karlovarského kraje/granty EU</t>
  </si>
  <si>
    <t>Investiční přijaté transfery od regionál.rad</t>
  </si>
  <si>
    <t>Investiční přijaté transfery - celkem</t>
  </si>
  <si>
    <t xml:space="preserve"> PŘIJATÉ TRANSFERY </t>
  </si>
  <si>
    <t>PŘÍJMY - CELKEM</t>
  </si>
  <si>
    <t xml:space="preserve"> FINANCOVÁNÍ</t>
  </si>
  <si>
    <t xml:space="preserve">Změna stavu na bankovních účtech města </t>
  </si>
  <si>
    <t>Krátkodobě přijaté půjčené prostředky</t>
  </si>
  <si>
    <t>Aktivní krátkodobé operace řízení likvidity (přijetí fin. prostředků)</t>
  </si>
  <si>
    <t>Aktivní krátkodobé operace řízení likvidity (vydání fin.prostředků)</t>
  </si>
  <si>
    <t>Dlouhodobě přijaté půjčené prostředky</t>
  </si>
  <si>
    <t>Dlouhodobé operace řízení likvidity  (přijetí fin. prostředků)</t>
  </si>
  <si>
    <t>Dlouhodobé operace řízení likvidity (vydání fin.prostředků)</t>
  </si>
  <si>
    <r>
      <t xml:space="preserve">splátky půjčených prostř. </t>
    </r>
    <r>
      <rPr>
        <sz val="9"/>
        <rFont val="Calibri"/>
        <family val="2"/>
        <charset val="238"/>
      </rPr>
      <t>(úvěr na Výstavní, sportov.a kongres. centrum)</t>
    </r>
  </si>
  <si>
    <t>PŘÍJMY + FINANCOVÁNÍ = ROZPOČTOVÉ VÝDAJE</t>
  </si>
  <si>
    <t xml:space="preserve">Daně z příjmů fyzických osob </t>
  </si>
  <si>
    <t>Daně z příjmů právnických osob</t>
  </si>
  <si>
    <t xml:space="preserve">Poplatky a odvody v oblasti životního prostředí </t>
  </si>
  <si>
    <t>Místní poplatky</t>
  </si>
  <si>
    <t>Ostatní odvody z vybraných činností a služeb</t>
  </si>
  <si>
    <t>stav k 7.1.2013</t>
  </si>
  <si>
    <t>Skutečnost 2006</t>
  </si>
  <si>
    <t>Skutečnost 2007</t>
  </si>
  <si>
    <t>Skutečnost 2008</t>
  </si>
  <si>
    <t>Skutečnost 2009</t>
  </si>
  <si>
    <t>Skutečnost    2010</t>
  </si>
  <si>
    <t>Skutečnost 2011</t>
  </si>
  <si>
    <t>Výhled na rok 2014</t>
  </si>
  <si>
    <t>Výhled na rok 2015</t>
  </si>
  <si>
    <t>Výhled na rok 2016</t>
  </si>
  <si>
    <t>A</t>
  </si>
  <si>
    <t>Počáteční stav peněžních prostředků k 1.1.</t>
  </si>
  <si>
    <t xml:space="preserve">                PŘÍJMY</t>
  </si>
  <si>
    <t>P1</t>
  </si>
  <si>
    <t>Třída 1</t>
  </si>
  <si>
    <t>Daňové příjmy</t>
  </si>
  <si>
    <t>P2</t>
  </si>
  <si>
    <t>Třída 2</t>
  </si>
  <si>
    <t>Nedaňové příjmy</t>
  </si>
  <si>
    <t xml:space="preserve"> uplatněný odpočet DPH </t>
  </si>
  <si>
    <t>P3</t>
  </si>
  <si>
    <t>Třída 3</t>
  </si>
  <si>
    <t>Kapitálové příjmy</t>
  </si>
  <si>
    <t>P4</t>
  </si>
  <si>
    <t>Třída 4</t>
  </si>
  <si>
    <t>Přijaté dotace (včetně přísp. Karlovar. kraje)</t>
  </si>
  <si>
    <t>P4.1</t>
  </si>
  <si>
    <t>z toho dotace z veř. rozpočtů</t>
  </si>
  <si>
    <t>P4.2</t>
  </si>
  <si>
    <t>z toho převod hosp.výsledku z HoČ</t>
  </si>
  <si>
    <t>z toho - ostatní přijaté dotace</t>
  </si>
  <si>
    <t>P4.3</t>
  </si>
  <si>
    <t>z toho st.dotace - bazén, revit.St.Role, míčová hala, Alžbět.lázne, zavádění ICT</t>
  </si>
  <si>
    <t>Pc</t>
  </si>
  <si>
    <t>P1+P2+P3+P4</t>
  </si>
  <si>
    <t>Příjmy celkem</t>
  </si>
  <si>
    <t>P6</t>
  </si>
  <si>
    <t>úvěry dlouhodobé (výst.,sport.kongres.centrum)</t>
  </si>
  <si>
    <t>Pf</t>
  </si>
  <si>
    <t>P5+P6+P7+P8+P9</t>
  </si>
  <si>
    <t>Přijaté úvěry (předfinancování dotací)</t>
  </si>
  <si>
    <t>ost. příjmy (vyúčtování předfin. dotací)</t>
  </si>
  <si>
    <t>P</t>
  </si>
  <si>
    <t>Pc+Pf</t>
  </si>
  <si>
    <t>Příjmy celkem včetně přijatých úvěrů</t>
  </si>
  <si>
    <t xml:space="preserve">                VÝDAJE</t>
  </si>
  <si>
    <t>V1</t>
  </si>
  <si>
    <t>Třída 5</t>
  </si>
  <si>
    <t>Běžné výdaje</t>
  </si>
  <si>
    <t>z toho splátky úroků z úvěru - multif. hala</t>
  </si>
  <si>
    <t>z toho úroky z úvěru na předfinancování akcí</t>
  </si>
  <si>
    <t>V2</t>
  </si>
  <si>
    <t>Třída 6</t>
  </si>
  <si>
    <t>Kapitálové výdaje</t>
  </si>
  <si>
    <r>
      <t xml:space="preserve">          </t>
    </r>
    <r>
      <rPr>
        <i/>
        <sz val="10"/>
        <rFont val="Calibri"/>
        <family val="2"/>
        <charset val="238"/>
      </rPr>
      <t>z toho - Revit.promenád.prostoru části láz.území Tržiště-Stará louka</t>
    </r>
  </si>
  <si>
    <t>V2.1</t>
  </si>
  <si>
    <t xml:space="preserve">          z toho - výstavba Výst.,sport. a kult.centrum</t>
  </si>
  <si>
    <t>V2.2</t>
  </si>
  <si>
    <t xml:space="preserve">          z toho - ostatní kapitálové výdaje </t>
  </si>
  <si>
    <t xml:space="preserve">          z toho - kapitálové výdaje-přísp. KÚ Karlov.kraje</t>
  </si>
  <si>
    <t>Vc</t>
  </si>
  <si>
    <t>V1+V2</t>
  </si>
  <si>
    <t>Výdaje celkem</t>
  </si>
  <si>
    <t>obhospodařování majetku</t>
  </si>
  <si>
    <t>V5</t>
  </si>
  <si>
    <t>splátka jistiny dlouhodobých úvěrů - multif. hala</t>
  </si>
  <si>
    <t>V8</t>
  </si>
  <si>
    <t>splátky jistin úvěrů (předfinancované akce)</t>
  </si>
  <si>
    <t xml:space="preserve"> </t>
  </si>
  <si>
    <t>Vf</t>
  </si>
  <si>
    <t>V4+V5+V6+V7+V8</t>
  </si>
  <si>
    <t>Splátky jistin úvěrů celkem</t>
  </si>
  <si>
    <t>V</t>
  </si>
  <si>
    <t>Vc+Vf</t>
  </si>
  <si>
    <t>Výdaje celkem vč. splátek jistiny úvěrů</t>
  </si>
  <si>
    <t>D</t>
  </si>
  <si>
    <t xml:space="preserve">Změna hotovosti běžného roku </t>
  </si>
  <si>
    <t>E</t>
  </si>
  <si>
    <t>Stav peněžních prostředků k 31.12.</t>
  </si>
  <si>
    <t>schválený</t>
  </si>
  <si>
    <t>neinv.tr. Krušnohorská, o.p.s.-úprava lyžař.stop</t>
  </si>
  <si>
    <t>z toho :</t>
  </si>
  <si>
    <t>Rozpočtový výhled města Karlovy Vary na léta 2014 až 2016 - dle požadavků odborů</t>
  </si>
  <si>
    <t>FINANCOVÁNÍ INVESTIČNÍCH A NEINVESTIČNÍCH AKCÍ V PRŮBĚHU LET 2014 - 2016</t>
  </si>
  <si>
    <t>Oblast</t>
  </si>
  <si>
    <t>Název závazného ukazatele</t>
  </si>
  <si>
    <r>
      <t>Příjmy z prodeje ost.nemovitostí/bytů/</t>
    </r>
    <r>
      <rPr>
        <b/>
        <sz val="10"/>
        <rFont val="Calibri"/>
        <family val="2"/>
        <charset val="238"/>
      </rPr>
      <t>VÁZANÉ PŘÍJMY</t>
    </r>
  </si>
  <si>
    <t>MŠ-Mládežnická</t>
  </si>
  <si>
    <t>5311</t>
  </si>
  <si>
    <t>2102</t>
  </si>
  <si>
    <t>2501</t>
  </si>
  <si>
    <t>3519</t>
  </si>
  <si>
    <t>3902</t>
  </si>
  <si>
    <t>7074</t>
  </si>
  <si>
    <t xml:space="preserve">školení </t>
  </si>
  <si>
    <t>školení - St. Role</t>
  </si>
  <si>
    <t>Karlovy Vary, lávka pro pěší a cyklisty Meandr Ohře - Interspar</t>
  </si>
  <si>
    <t>Karlovy Vary, venkovní bazén</t>
  </si>
  <si>
    <t>3525</t>
  </si>
  <si>
    <t>3526</t>
  </si>
  <si>
    <t>3527</t>
  </si>
  <si>
    <t>3528</t>
  </si>
  <si>
    <t>3529</t>
  </si>
  <si>
    <t>3549</t>
  </si>
  <si>
    <t>3531</t>
  </si>
  <si>
    <t>3532</t>
  </si>
  <si>
    <t>3533</t>
  </si>
  <si>
    <t>3534</t>
  </si>
  <si>
    <t>3576</t>
  </si>
  <si>
    <t>VÁZANÉ VÝDAJE  - celkem</t>
  </si>
  <si>
    <t>3557</t>
  </si>
  <si>
    <t>3577</t>
  </si>
  <si>
    <t>3559</t>
  </si>
  <si>
    <t>3560</t>
  </si>
  <si>
    <t>3537</t>
  </si>
  <si>
    <t>3539</t>
  </si>
  <si>
    <t>3561</t>
  </si>
  <si>
    <t>3545</t>
  </si>
  <si>
    <t>3546</t>
  </si>
  <si>
    <t>3562</t>
  </si>
  <si>
    <t>3563</t>
  </si>
  <si>
    <t>3564</t>
  </si>
  <si>
    <t>3565</t>
  </si>
  <si>
    <t>3567</t>
  </si>
  <si>
    <t>3569</t>
  </si>
  <si>
    <t>3571</t>
  </si>
  <si>
    <t>3572</t>
  </si>
  <si>
    <t>3573</t>
  </si>
  <si>
    <t>3574</t>
  </si>
  <si>
    <t>3550</t>
  </si>
  <si>
    <t>3575</t>
  </si>
  <si>
    <t>dof. - opravy a udržování</t>
  </si>
  <si>
    <t>Schválený rozpočet 2014</t>
  </si>
  <si>
    <t>Upravený rozpočet 2014</t>
  </si>
  <si>
    <t>dof. - výměna technologie - výtahy</t>
  </si>
  <si>
    <t>dof. - nákup ostatních služeb</t>
  </si>
  <si>
    <t>dof. - software pro MM</t>
  </si>
  <si>
    <t>dof. - výpočetní technika</t>
  </si>
  <si>
    <t>dof. - Památky - program regenerace památkové zóny</t>
  </si>
  <si>
    <t>6119</t>
  </si>
  <si>
    <t>3555</t>
  </si>
  <si>
    <t>II/222 K.Vary - Kyselka, sesuv zemin</t>
  </si>
  <si>
    <t>6130</t>
  </si>
  <si>
    <t>0552</t>
  </si>
  <si>
    <t>0761</t>
  </si>
  <si>
    <t>2840</t>
  </si>
  <si>
    <t>2842</t>
  </si>
  <si>
    <t>2845</t>
  </si>
  <si>
    <t>2869</t>
  </si>
  <si>
    <t>3905</t>
  </si>
  <si>
    <t>9521</t>
  </si>
  <si>
    <t>dof. - technické zhodnocení - objekty MŠ a ZŠ</t>
  </si>
  <si>
    <t>dof. - lávka pro pěší</t>
  </si>
  <si>
    <t>VO K přehradě</t>
  </si>
  <si>
    <t>veterinární péče - domek na nářadí</t>
  </si>
  <si>
    <t>dof.-PO SPLZaK - havarijní stav akumul.nádrže a krenotechniky</t>
  </si>
  <si>
    <t>vázané výdaje SR</t>
  </si>
  <si>
    <t>nevázané výdaje SR</t>
  </si>
  <si>
    <t>Schválený</t>
  </si>
  <si>
    <t>Schválený rozpočet 2014 v tis. Kč</t>
  </si>
  <si>
    <t>Upravený rozpočet 2014 v tis. Kč</t>
  </si>
  <si>
    <t xml:space="preserve">dof. - Ulice Vítězná, Prašná - rekonstrukce  </t>
  </si>
  <si>
    <t>Revitalizace veř.prostor St. Role - ul.Karlovarská</t>
  </si>
  <si>
    <t>veterinární péče  - domek na nářadá</t>
  </si>
  <si>
    <t>Součet z Schválený rozpočet 2014 v tis. Kč</t>
  </si>
  <si>
    <t>dof. - zhodnocení budov z energ. auditů ZŠ</t>
  </si>
  <si>
    <t>Celkový součet</t>
  </si>
  <si>
    <t>Součet z Upravený rozpočet 2014 v tis. Kč</t>
  </si>
  <si>
    <t>RM-2,</t>
  </si>
  <si>
    <t>př.2013-Ulice Americká a Rumunská - oprava povrchů</t>
  </si>
  <si>
    <t>3556</t>
  </si>
  <si>
    <t>1.MŠ Karlovy Vary - Se zahradou do přírody</t>
  </si>
  <si>
    <t>dof./př. - opravy a udržování</t>
  </si>
  <si>
    <t>2880</t>
  </si>
  <si>
    <t>Revitalizace území Vřídelní ulice - kamenolom</t>
  </si>
  <si>
    <t>dof./př. - TZ - Divadlo - projekt.dokumentace</t>
  </si>
  <si>
    <t>dof./př. - rek. Lidového domu Stará Role</t>
  </si>
  <si>
    <t>dof.zhodnocení budov z energ. auditů  MŠ</t>
  </si>
  <si>
    <t>xxx</t>
  </si>
  <si>
    <t xml:space="preserve">Letní kino   </t>
  </si>
  <si>
    <r>
      <rPr>
        <b/>
        <sz val="10"/>
        <color theme="0"/>
        <rFont val="Calibri"/>
        <family val="2"/>
        <charset val="238"/>
      </rPr>
      <t>VÁZANÉ VÝDAJE</t>
    </r>
    <r>
      <rPr>
        <sz val="10"/>
        <color theme="0"/>
        <rFont val="Calibri"/>
        <family val="2"/>
        <charset val="238"/>
      </rPr>
      <t>: inv.transf.KV Arena - nákup vybavení</t>
    </r>
  </si>
  <si>
    <t>Revitalizace veř.prostor St. Role</t>
  </si>
  <si>
    <t>Upravený rozpočet 2013 po dof. a přesunech</t>
  </si>
  <si>
    <t>Výhled na rok 2014 po dof. a přesunech</t>
  </si>
  <si>
    <t>AKTUALIZACE - 28.1.2014</t>
  </si>
  <si>
    <t>5273</t>
  </si>
  <si>
    <t>2502</t>
  </si>
  <si>
    <t>6359</t>
  </si>
</sst>
</file>

<file path=xl/styles.xml><?xml version="1.0" encoding="utf-8"?>
<styleSheet xmlns="http://schemas.openxmlformats.org/spreadsheetml/2006/main">
  <numFmts count="14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000"/>
    <numFmt numFmtId="166" formatCode="00"/>
    <numFmt numFmtId="167" formatCode="_-* #,##0\ _K_č_-;\-* #,##0\ _K_č_-;_-* &quot;-&quot;??\ _K_č_-;_-@_-"/>
    <numFmt numFmtId="168" formatCode="#,##0.00_-;[Red]#,##0.00\-"/>
    <numFmt numFmtId="169" formatCode="#,##0.00_ ;\-#,##0.00\ "/>
    <numFmt numFmtId="170" formatCode="#,##0_ ;\-#,##0\ "/>
    <numFmt numFmtId="171" formatCode="#,##0.0"/>
    <numFmt numFmtId="172" formatCode="#,##0_ ;[Red]\-#,##0\ "/>
    <numFmt numFmtId="173" formatCode="#,##0.00000"/>
    <numFmt numFmtId="174" formatCode="#,##0.0000_ ;\-#,##0.0000\ "/>
    <numFmt numFmtId="175" formatCode="#,##0.0000"/>
  </numFmts>
  <fonts count="95">
    <font>
      <sz val="11"/>
      <color theme="1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color indexed="8"/>
      <name val="Times New Roman"/>
      <family val="2"/>
      <charset val="238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1"/>
      <color indexed="8"/>
      <name val="Times New Roman"/>
      <family val="1"/>
      <charset val="238"/>
    </font>
    <font>
      <i/>
      <sz val="10"/>
      <color indexed="8"/>
      <name val="Calibri"/>
      <family val="2"/>
      <charset val="238"/>
    </font>
    <font>
      <sz val="10"/>
      <color indexed="8"/>
      <name val="Times New Roman"/>
      <family val="1"/>
      <charset val="238"/>
    </font>
    <font>
      <b/>
      <i/>
      <sz val="10"/>
      <color indexed="8"/>
      <name val="Calibri"/>
      <family val="2"/>
      <charset val="238"/>
    </font>
    <font>
      <b/>
      <sz val="10"/>
      <color indexed="10"/>
      <name val="Times New Roman"/>
      <family val="1"/>
      <charset val="238"/>
    </font>
    <font>
      <b/>
      <sz val="9"/>
      <color indexed="1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9"/>
      <color indexed="10"/>
      <name val="Calibri"/>
      <family val="2"/>
      <charset val="238"/>
    </font>
    <font>
      <sz val="9"/>
      <color indexed="8"/>
      <name val="Times New Roman"/>
      <family val="2"/>
      <charset val="238"/>
    </font>
    <font>
      <sz val="10"/>
      <color indexed="8"/>
      <name val="Times New Roman"/>
      <family val="2"/>
      <charset val="238"/>
    </font>
    <font>
      <i/>
      <sz val="10"/>
      <color indexed="8"/>
      <name val="Times New Roman"/>
      <family val="2"/>
      <charset val="238"/>
    </font>
    <font>
      <sz val="9"/>
      <color indexed="10"/>
      <name val="Calibri"/>
      <family val="2"/>
      <charset val="238"/>
    </font>
    <font>
      <b/>
      <sz val="12"/>
      <color indexed="56"/>
      <name val="Calibri"/>
      <family val="2"/>
      <charset val="238"/>
    </font>
    <font>
      <sz val="9"/>
      <name val="Calibri"/>
      <family val="2"/>
      <charset val="238"/>
    </font>
    <font>
      <b/>
      <i/>
      <sz val="10"/>
      <color indexed="10"/>
      <name val="Calibri"/>
      <family val="2"/>
      <charset val="238"/>
    </font>
    <font>
      <b/>
      <i/>
      <sz val="11"/>
      <color indexed="8"/>
      <name val="Times New Roman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8"/>
      <color theme="1"/>
      <name val="Calibri"/>
      <family val="2"/>
      <charset val="238"/>
    </font>
    <font>
      <i/>
      <sz val="11"/>
      <color theme="1"/>
      <name val="Calibri"/>
      <family val="2"/>
      <charset val="238"/>
    </font>
    <font>
      <sz val="8"/>
      <color rgb="FF000000"/>
      <name val="Arial"/>
      <family val="2"/>
      <charset val="238"/>
    </font>
    <font>
      <i/>
      <sz val="9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b/>
      <sz val="12"/>
      <name val="Calibri"/>
      <family val="2"/>
      <charset val="238"/>
    </font>
    <font>
      <sz val="12"/>
      <color indexed="8"/>
      <name val="Calibri"/>
      <family val="2"/>
      <charset val="238"/>
    </font>
    <font>
      <i/>
      <sz val="9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1"/>
      <color indexed="8"/>
      <name val="Cambria"/>
      <family val="1"/>
      <charset val="238"/>
    </font>
    <font>
      <b/>
      <sz val="14"/>
      <color indexed="8"/>
      <name val="Calibri"/>
      <family val="2"/>
      <charset val="238"/>
    </font>
    <font>
      <sz val="12"/>
      <color indexed="8"/>
      <name val="Cambria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11"/>
      <color indexed="8"/>
      <name val="Calibri"/>
      <family val="2"/>
      <charset val="238"/>
    </font>
    <font>
      <b/>
      <sz val="16"/>
      <name val="Cambria"/>
      <family val="1"/>
      <charset val="238"/>
    </font>
    <font>
      <sz val="10"/>
      <name val="Cambria"/>
      <family val="1"/>
      <charset val="238"/>
    </font>
    <font>
      <b/>
      <sz val="14"/>
      <name val="Calibri"/>
      <family val="2"/>
      <charset val="238"/>
      <scheme val="minor"/>
    </font>
    <font>
      <sz val="9"/>
      <color theme="1"/>
      <name val="Times New Roman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0"/>
      <name val="Calibri"/>
      <family val="2"/>
      <charset val="238"/>
    </font>
    <font>
      <b/>
      <i/>
      <sz val="10"/>
      <name val="Calibri"/>
      <family val="2"/>
      <charset val="238"/>
      <scheme val="minor"/>
    </font>
    <font>
      <b/>
      <sz val="11"/>
      <color theme="1"/>
      <name val="Times New Roman"/>
      <family val="2"/>
      <charset val="238"/>
    </font>
    <font>
      <i/>
      <sz val="9"/>
      <color theme="1"/>
      <name val="Times New Roman"/>
      <family val="1"/>
      <charset val="238"/>
    </font>
    <font>
      <i/>
      <sz val="10"/>
      <color indexed="8"/>
      <name val="Calibri"/>
      <family val="2"/>
      <charset val="238"/>
      <scheme val="minor"/>
    </font>
    <font>
      <b/>
      <i/>
      <sz val="10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i/>
      <sz val="8"/>
      <color indexed="8"/>
      <name val="Calibri"/>
      <family val="2"/>
      <charset val="238"/>
    </font>
    <font>
      <sz val="11"/>
      <color theme="0"/>
      <name val="Times New Roman"/>
      <family val="2"/>
      <charset val="238"/>
    </font>
    <font>
      <b/>
      <sz val="10"/>
      <color theme="0"/>
      <name val="Calibri"/>
      <family val="2"/>
      <charset val="238"/>
    </font>
    <font>
      <sz val="10"/>
      <color theme="0"/>
      <name val="Calibri"/>
      <family val="2"/>
      <charset val="238"/>
    </font>
    <font>
      <b/>
      <sz val="12"/>
      <color theme="0"/>
      <name val="Calibri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8168889431442"/>
        <bgColor indexed="64"/>
      </patternFill>
    </fill>
  </fills>
  <borders count="15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30"/>
      </right>
      <top style="thick">
        <color indexed="30"/>
      </top>
      <bottom style="thick">
        <color indexed="30"/>
      </bottom>
      <diagonal/>
    </border>
    <border>
      <left style="medium">
        <color indexed="30"/>
      </left>
      <right/>
      <top style="thick">
        <color indexed="30"/>
      </top>
      <bottom style="thick">
        <color indexed="30"/>
      </bottom>
      <diagonal/>
    </border>
    <border>
      <left style="medium">
        <color indexed="30"/>
      </left>
      <right style="medium">
        <color indexed="30"/>
      </right>
      <top style="thick">
        <color indexed="30"/>
      </top>
      <bottom style="thick">
        <color indexed="30"/>
      </bottom>
      <diagonal/>
    </border>
    <border>
      <left/>
      <right/>
      <top style="thick">
        <color indexed="30"/>
      </top>
      <bottom style="thick">
        <color indexed="30"/>
      </bottom>
      <diagonal/>
    </border>
    <border>
      <left style="thick">
        <color indexed="30"/>
      </left>
      <right/>
      <top style="thick">
        <color indexed="30"/>
      </top>
      <bottom style="thick">
        <color indexed="30"/>
      </bottom>
      <diagonal/>
    </border>
    <border>
      <left style="thick">
        <color indexed="30"/>
      </left>
      <right style="medium">
        <color indexed="30"/>
      </right>
      <top style="thick">
        <color indexed="30"/>
      </top>
      <bottom style="thick">
        <color indexed="30"/>
      </bottom>
      <diagonal/>
    </border>
    <border>
      <left/>
      <right/>
      <top/>
      <bottom style="thick">
        <color indexed="30"/>
      </bottom>
      <diagonal/>
    </border>
    <border>
      <left style="medium">
        <color indexed="30"/>
      </left>
      <right style="medium">
        <color indexed="30"/>
      </right>
      <top/>
      <bottom style="thick">
        <color indexed="30"/>
      </bottom>
      <diagonal/>
    </border>
    <border>
      <left style="thick">
        <color indexed="30"/>
      </left>
      <right/>
      <top/>
      <bottom style="thick">
        <color indexed="30"/>
      </bottom>
      <diagonal/>
    </border>
    <border>
      <left style="medium">
        <color indexed="30"/>
      </left>
      <right style="medium">
        <color indexed="30"/>
      </right>
      <top/>
      <bottom/>
      <diagonal/>
    </border>
    <border>
      <left style="thick">
        <color indexed="30"/>
      </left>
      <right/>
      <top/>
      <bottom/>
      <diagonal/>
    </border>
    <border>
      <left style="medium">
        <color indexed="30"/>
      </left>
      <right style="medium">
        <color indexed="30"/>
      </right>
      <top style="thick">
        <color indexed="30"/>
      </top>
      <bottom/>
      <diagonal/>
    </border>
    <border>
      <left/>
      <right/>
      <top style="thick">
        <color indexed="30"/>
      </top>
      <bottom/>
      <diagonal/>
    </border>
    <border>
      <left style="thick">
        <color indexed="30"/>
      </left>
      <right/>
      <top style="thick">
        <color indexed="30"/>
      </top>
      <bottom/>
      <diagonal/>
    </border>
    <border>
      <left style="medium">
        <color indexed="30"/>
      </left>
      <right style="thick">
        <color indexed="30"/>
      </right>
      <top style="thick">
        <color indexed="30"/>
      </top>
      <bottom style="thick">
        <color indexed="30"/>
      </bottom>
      <diagonal/>
    </border>
    <border>
      <left style="medium">
        <color indexed="30"/>
      </left>
      <right style="thick">
        <color indexed="30"/>
      </right>
      <top style="thick">
        <color indexed="30"/>
      </top>
      <bottom style="medium">
        <color indexed="30"/>
      </bottom>
      <diagonal/>
    </border>
    <border>
      <left style="medium">
        <color indexed="30"/>
      </left>
      <right style="medium">
        <color indexed="30"/>
      </right>
      <top style="thick">
        <color indexed="30"/>
      </top>
      <bottom style="medium">
        <color indexed="30"/>
      </bottom>
      <diagonal/>
    </border>
    <border>
      <left style="thick">
        <color indexed="30"/>
      </left>
      <right style="medium">
        <color indexed="30"/>
      </right>
      <top style="thick">
        <color indexed="30"/>
      </top>
      <bottom style="medium">
        <color indexed="30"/>
      </bottom>
      <diagonal/>
    </border>
    <border>
      <left style="medium">
        <color indexed="30"/>
      </left>
      <right style="thick">
        <color indexed="30"/>
      </right>
      <top/>
      <bottom style="thick">
        <color indexed="30"/>
      </bottom>
      <diagonal/>
    </border>
    <border>
      <left style="medium">
        <color indexed="30"/>
      </left>
      <right style="thick">
        <color indexed="30"/>
      </right>
      <top/>
      <bottom/>
      <diagonal/>
    </border>
    <border>
      <left style="medium">
        <color indexed="30"/>
      </left>
      <right style="thick">
        <color indexed="30"/>
      </right>
      <top style="thick">
        <color indexed="30"/>
      </top>
      <bottom/>
      <diagonal/>
    </border>
    <border>
      <left style="medium">
        <color indexed="30"/>
      </left>
      <right/>
      <top/>
      <bottom style="thick">
        <color indexed="30"/>
      </bottom>
      <diagonal/>
    </border>
    <border>
      <left style="medium">
        <color indexed="30"/>
      </left>
      <right style="medium">
        <color indexed="30"/>
      </right>
      <top style="medium">
        <color indexed="30"/>
      </top>
      <bottom style="thick">
        <color indexed="30"/>
      </bottom>
      <diagonal/>
    </border>
    <border>
      <left style="medium">
        <color indexed="30"/>
      </left>
      <right style="medium">
        <color indexed="30"/>
      </right>
      <top style="medium">
        <color indexed="30"/>
      </top>
      <bottom style="medium">
        <color indexed="30"/>
      </bottom>
      <diagonal/>
    </border>
    <border>
      <left style="medium">
        <color indexed="30"/>
      </left>
      <right/>
      <top style="medium">
        <color indexed="30"/>
      </top>
      <bottom style="medium">
        <color indexed="30"/>
      </bottom>
      <diagonal/>
    </border>
    <border>
      <left style="medium">
        <color indexed="30"/>
      </left>
      <right style="medium">
        <color indexed="30"/>
      </right>
      <top/>
      <bottom style="medium">
        <color indexed="30"/>
      </bottom>
      <diagonal/>
    </border>
    <border>
      <left style="thick">
        <color indexed="30"/>
      </left>
      <right style="medium">
        <color indexed="30"/>
      </right>
      <top style="medium">
        <color indexed="30"/>
      </top>
      <bottom style="medium">
        <color indexed="30"/>
      </bottom>
      <diagonal/>
    </border>
    <border>
      <left/>
      <right style="medium">
        <color indexed="30"/>
      </right>
      <top/>
      <bottom style="thick">
        <color indexed="30"/>
      </bottom>
      <diagonal/>
    </border>
    <border>
      <left style="medium">
        <color indexed="30"/>
      </left>
      <right/>
      <top/>
      <bottom style="medium">
        <color indexed="30"/>
      </bottom>
      <diagonal/>
    </border>
    <border>
      <left style="medium">
        <color indexed="30"/>
      </left>
      <right style="medium">
        <color indexed="30"/>
      </right>
      <top style="medium">
        <color indexed="30"/>
      </top>
      <bottom/>
      <diagonal/>
    </border>
    <border>
      <left style="medium">
        <color indexed="30"/>
      </left>
      <right/>
      <top style="medium">
        <color indexed="30"/>
      </top>
      <bottom/>
      <diagonal/>
    </border>
    <border>
      <left style="thick">
        <color indexed="30"/>
      </left>
      <right style="medium">
        <color indexed="30"/>
      </right>
      <top style="medium">
        <color indexed="30"/>
      </top>
      <bottom/>
      <diagonal/>
    </border>
    <border>
      <left style="medium">
        <color indexed="30"/>
      </left>
      <right/>
      <top style="thick">
        <color indexed="30"/>
      </top>
      <bottom style="medium">
        <color indexed="30"/>
      </bottom>
      <diagonal/>
    </border>
    <border>
      <left style="medium">
        <color indexed="30"/>
      </left>
      <right/>
      <top style="medium">
        <color indexed="30"/>
      </top>
      <bottom style="thick">
        <color indexed="30"/>
      </bottom>
      <diagonal/>
    </border>
    <border>
      <left/>
      <right style="thick">
        <color indexed="30"/>
      </right>
      <top/>
      <bottom style="thick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30"/>
      </left>
      <right style="thick">
        <color indexed="30"/>
      </right>
      <top style="medium">
        <color indexed="30"/>
      </top>
      <bottom style="medium">
        <color indexed="30"/>
      </bottom>
      <diagonal/>
    </border>
    <border>
      <left style="thick">
        <color indexed="30"/>
      </left>
      <right style="medium">
        <color indexed="30"/>
      </right>
      <top/>
      <bottom style="thick">
        <color indexed="30"/>
      </bottom>
      <diagonal/>
    </border>
    <border>
      <left style="medium">
        <color indexed="30"/>
      </left>
      <right/>
      <top/>
      <bottom/>
      <diagonal/>
    </border>
    <border>
      <left style="thick">
        <color indexed="30"/>
      </left>
      <right style="medium">
        <color indexed="30"/>
      </right>
      <top style="medium">
        <color indexed="30"/>
      </top>
      <bottom style="thick">
        <color indexed="30"/>
      </bottom>
      <diagonal/>
    </border>
    <border>
      <left style="medium">
        <color indexed="30"/>
      </left>
      <right style="thick">
        <color indexed="30"/>
      </right>
      <top style="medium">
        <color indexed="30"/>
      </top>
      <bottom style="thick">
        <color indexed="30"/>
      </bottom>
      <diagonal/>
    </border>
    <border>
      <left style="thick">
        <color indexed="30"/>
      </left>
      <right style="medium">
        <color indexed="30"/>
      </right>
      <top/>
      <bottom/>
      <diagonal/>
    </border>
    <border>
      <left style="thick">
        <color indexed="30"/>
      </left>
      <right style="medium">
        <color indexed="30"/>
      </right>
      <top/>
      <bottom style="medium">
        <color indexed="30"/>
      </bottom>
      <diagonal/>
    </border>
    <border>
      <left/>
      <right style="medium">
        <color indexed="30"/>
      </right>
      <top style="thick">
        <color indexed="30"/>
      </top>
      <bottom style="thick">
        <color indexed="30"/>
      </bottom>
      <diagonal/>
    </border>
    <border>
      <left/>
      <right style="thick">
        <color indexed="30"/>
      </right>
      <top style="thick">
        <color indexed="30"/>
      </top>
      <bottom/>
      <diagonal/>
    </border>
    <border>
      <left/>
      <right style="thick">
        <color indexed="30"/>
      </right>
      <top/>
      <bottom/>
      <diagonal/>
    </border>
    <border>
      <left style="medium">
        <color indexed="30"/>
      </left>
      <right style="thick">
        <color indexed="30"/>
      </right>
      <top/>
      <bottom style="medium">
        <color indexed="30"/>
      </bottom>
      <diagonal/>
    </border>
    <border>
      <left style="thick">
        <color indexed="30"/>
      </left>
      <right/>
      <top style="medium">
        <color indexed="30"/>
      </top>
      <bottom style="medium">
        <color indexed="30"/>
      </bottom>
      <diagonal/>
    </border>
    <border>
      <left/>
      <right style="medium">
        <color indexed="30"/>
      </right>
      <top style="medium">
        <color indexed="30"/>
      </top>
      <bottom style="medium">
        <color indexed="30"/>
      </bottom>
      <diagonal/>
    </border>
    <border>
      <left/>
      <right/>
      <top style="medium">
        <color indexed="30"/>
      </top>
      <bottom style="medium">
        <color indexed="30"/>
      </bottom>
      <diagonal/>
    </border>
    <border>
      <left/>
      <right style="medium">
        <color indexed="30"/>
      </right>
      <top style="medium">
        <color indexed="30"/>
      </top>
      <bottom/>
      <diagonal/>
    </border>
    <border>
      <left style="thick">
        <color indexed="30"/>
      </left>
      <right style="medium">
        <color indexed="30"/>
      </right>
      <top style="thick">
        <color indexed="3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30"/>
      </left>
      <right/>
      <top style="thick">
        <color indexed="30"/>
      </top>
      <bottom/>
      <diagonal/>
    </border>
    <border>
      <left style="thick">
        <color indexed="30"/>
      </left>
      <right style="thick">
        <color indexed="30"/>
      </right>
      <top style="thick">
        <color indexed="30"/>
      </top>
      <bottom/>
      <diagonal/>
    </border>
    <border>
      <left style="thick">
        <color indexed="30"/>
      </left>
      <right style="thick">
        <color indexed="30"/>
      </right>
      <top/>
      <bottom/>
      <diagonal/>
    </border>
    <border>
      <left style="thick">
        <color indexed="30"/>
      </left>
      <right style="thick">
        <color indexed="30"/>
      </right>
      <top/>
      <bottom style="thick">
        <color indexed="30"/>
      </bottom>
      <diagonal/>
    </border>
    <border>
      <left style="thick">
        <color indexed="30"/>
      </left>
      <right/>
      <top style="medium">
        <color indexed="30"/>
      </top>
      <bottom style="thick">
        <color indexed="30"/>
      </bottom>
      <diagonal/>
    </border>
    <border>
      <left/>
      <right/>
      <top style="medium">
        <color indexed="30"/>
      </top>
      <bottom style="thick">
        <color indexed="30"/>
      </bottom>
      <diagonal/>
    </border>
    <border>
      <left/>
      <right style="medium">
        <color indexed="30"/>
      </right>
      <top style="medium">
        <color indexed="30"/>
      </top>
      <bottom style="thick">
        <color indexed="30"/>
      </bottom>
      <diagonal/>
    </border>
    <border>
      <left style="thick">
        <color rgb="FF0070C0"/>
      </left>
      <right/>
      <top style="thick">
        <color rgb="FF0070C0"/>
      </top>
      <bottom/>
      <diagonal/>
    </border>
    <border>
      <left style="medium">
        <color indexed="30"/>
      </left>
      <right style="medium">
        <color indexed="30"/>
      </right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 style="thick">
        <color rgb="FF0070C0"/>
      </left>
      <right/>
      <top/>
      <bottom/>
      <diagonal/>
    </border>
    <border>
      <left style="thick">
        <color rgb="FF0070C0"/>
      </left>
      <right/>
      <top/>
      <bottom style="thick">
        <color indexed="30"/>
      </bottom>
      <diagonal/>
    </border>
    <border>
      <left style="thick">
        <color rgb="FF0070C0"/>
      </left>
      <right style="medium">
        <color indexed="30"/>
      </right>
      <top style="medium">
        <color indexed="30"/>
      </top>
      <bottom style="medium">
        <color indexed="30"/>
      </bottom>
      <diagonal/>
    </border>
    <border>
      <left style="thick">
        <color rgb="FF0070C0"/>
      </left>
      <right style="medium">
        <color indexed="30"/>
      </right>
      <top/>
      <bottom style="medium">
        <color rgb="FF0070C0"/>
      </bottom>
      <diagonal/>
    </border>
    <border>
      <left style="medium">
        <color indexed="30"/>
      </left>
      <right style="medium">
        <color indexed="30"/>
      </right>
      <top/>
      <bottom style="medium">
        <color rgb="FF0070C0"/>
      </bottom>
      <diagonal/>
    </border>
    <border>
      <left style="medium">
        <color indexed="30"/>
      </left>
      <right/>
      <top/>
      <bottom style="medium">
        <color rgb="FF0070C0"/>
      </bottom>
      <diagonal/>
    </border>
    <border>
      <left style="thick">
        <color rgb="FF0070C0"/>
      </left>
      <right style="medium">
        <color indexed="30"/>
      </right>
      <top/>
      <bottom style="medium">
        <color indexed="30"/>
      </bottom>
      <diagonal/>
    </border>
    <border>
      <left style="thick">
        <color rgb="FF0070C0"/>
      </left>
      <right style="medium">
        <color indexed="30"/>
      </right>
      <top style="medium">
        <color indexed="30"/>
      </top>
      <bottom/>
      <diagonal/>
    </border>
    <border>
      <left style="thick">
        <color rgb="FF0070C0"/>
      </left>
      <right style="medium">
        <color indexed="30"/>
      </right>
      <top style="medium">
        <color indexed="30"/>
      </top>
      <bottom style="medium">
        <color rgb="FF0070C0"/>
      </bottom>
      <diagonal/>
    </border>
    <border>
      <left style="medium">
        <color indexed="30"/>
      </left>
      <right style="medium">
        <color indexed="30"/>
      </right>
      <top style="medium">
        <color indexed="30"/>
      </top>
      <bottom style="medium">
        <color rgb="FF0070C0"/>
      </bottom>
      <diagonal/>
    </border>
    <border>
      <left style="medium">
        <color indexed="30"/>
      </left>
      <right/>
      <top style="medium">
        <color indexed="30"/>
      </top>
      <bottom style="medium">
        <color rgb="FF0070C0"/>
      </bottom>
      <diagonal/>
    </border>
    <border>
      <left style="medium">
        <color indexed="30"/>
      </left>
      <right style="medium">
        <color indexed="30"/>
      </right>
      <top style="thick">
        <color indexed="30"/>
      </top>
      <bottom style="thick">
        <color rgb="FF0070C0"/>
      </bottom>
      <diagonal/>
    </border>
    <border>
      <left style="thick">
        <color rgb="FF0070C0"/>
      </left>
      <right style="medium">
        <color indexed="30"/>
      </right>
      <top/>
      <bottom style="thick">
        <color rgb="FF0070C0"/>
      </bottom>
      <diagonal/>
    </border>
    <border>
      <left style="medium">
        <color indexed="30"/>
      </left>
      <right style="medium">
        <color indexed="30"/>
      </right>
      <top/>
      <bottom style="thick">
        <color rgb="FF0070C0"/>
      </bottom>
      <diagonal/>
    </border>
    <border>
      <left style="medium">
        <color indexed="30"/>
      </left>
      <right/>
      <top/>
      <bottom style="thick">
        <color rgb="FF0070C0"/>
      </bottom>
      <diagonal/>
    </border>
    <border>
      <left style="thick">
        <color rgb="FF0070C0"/>
      </left>
      <right style="medium">
        <color indexed="30"/>
      </right>
      <top style="thick">
        <color indexed="30"/>
      </top>
      <bottom style="thick">
        <color rgb="FF0070C0"/>
      </bottom>
      <diagonal/>
    </border>
    <border>
      <left style="medium">
        <color indexed="30"/>
      </left>
      <right/>
      <top style="thick">
        <color indexed="30"/>
      </top>
      <bottom style="thick">
        <color rgb="FF0070C0"/>
      </bottom>
      <diagonal/>
    </border>
    <border>
      <left style="medium">
        <color indexed="30"/>
      </left>
      <right/>
      <top style="medium">
        <color indexed="30"/>
      </top>
      <bottom style="thick">
        <color rgb="FF0070C0"/>
      </bottom>
      <diagonal/>
    </border>
    <border>
      <left style="thick">
        <color rgb="FF0070C0"/>
      </left>
      <right/>
      <top style="medium">
        <color indexed="30"/>
      </top>
      <bottom style="thick">
        <color rgb="FF0070C0"/>
      </bottom>
      <diagonal/>
    </border>
    <border>
      <left/>
      <right/>
      <top style="medium">
        <color indexed="30"/>
      </top>
      <bottom style="thick">
        <color rgb="FF0070C0"/>
      </bottom>
      <diagonal/>
    </border>
    <border>
      <left/>
      <right style="medium">
        <color indexed="30"/>
      </right>
      <top style="medium">
        <color indexed="30"/>
      </top>
      <bottom style="thick">
        <color rgb="FF0070C0"/>
      </bottom>
      <diagonal/>
    </border>
    <border>
      <left style="thick">
        <color rgb="FF0070C0"/>
      </left>
      <right style="medium">
        <color indexed="30"/>
      </right>
      <top style="medium">
        <color indexed="30"/>
      </top>
      <bottom style="thick">
        <color indexed="30"/>
      </bottom>
      <diagonal/>
    </border>
    <border>
      <left/>
      <right style="medium">
        <color indexed="30"/>
      </right>
      <top style="thick">
        <color indexed="30"/>
      </top>
      <bottom/>
      <diagonal/>
    </border>
    <border>
      <left/>
      <right style="medium">
        <color indexed="30"/>
      </right>
      <top/>
      <bottom/>
      <diagonal/>
    </border>
    <border>
      <left style="thick">
        <color indexed="30"/>
      </left>
      <right/>
      <top style="thick">
        <color indexed="30"/>
      </top>
      <bottom style="medium">
        <color indexed="30"/>
      </bottom>
      <diagonal/>
    </border>
    <border>
      <left/>
      <right/>
      <top style="thick">
        <color indexed="30"/>
      </top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30"/>
      </left>
      <right style="thick">
        <color indexed="30"/>
      </right>
      <top style="medium">
        <color indexed="30"/>
      </top>
      <bottom/>
      <diagonal/>
    </border>
    <border>
      <left style="medium">
        <color indexed="30"/>
      </left>
      <right/>
      <top style="thick">
        <color rgb="FF0070C0"/>
      </top>
      <bottom/>
      <diagonal/>
    </border>
    <border>
      <left style="medium">
        <color indexed="30"/>
      </left>
      <right style="thick">
        <color rgb="FF0070C0"/>
      </right>
      <top style="medium">
        <color indexed="30"/>
      </top>
      <bottom style="medium">
        <color indexed="30"/>
      </bottom>
      <diagonal/>
    </border>
    <border>
      <left style="medium">
        <color indexed="30"/>
      </left>
      <right style="thick">
        <color rgb="FF0070C0"/>
      </right>
      <top style="medium">
        <color indexed="30"/>
      </top>
      <bottom style="thick">
        <color rgb="FF0070C0"/>
      </bottom>
      <diagonal/>
    </border>
    <border>
      <left style="medium">
        <color indexed="30"/>
      </left>
      <right style="thick">
        <color rgb="FF0070C0"/>
      </right>
      <top/>
      <bottom style="medium">
        <color rgb="FF0070C0"/>
      </bottom>
      <diagonal/>
    </border>
    <border>
      <left style="medium">
        <color indexed="30"/>
      </left>
      <right style="thick">
        <color rgb="FF0070C0"/>
      </right>
      <top style="medium">
        <color indexed="30"/>
      </top>
      <bottom style="medium">
        <color rgb="FF0070C0"/>
      </bottom>
      <diagonal/>
    </border>
    <border>
      <left style="medium">
        <color indexed="30"/>
      </left>
      <right style="thick">
        <color rgb="FF0070C0"/>
      </right>
      <top style="medium">
        <color indexed="30"/>
      </top>
      <bottom/>
      <diagonal/>
    </border>
    <border>
      <left style="medium">
        <color indexed="30"/>
      </left>
      <right style="thick">
        <color rgb="FF0070C0"/>
      </right>
      <top/>
      <bottom style="medium">
        <color indexed="30"/>
      </bottom>
      <diagonal/>
    </border>
    <border>
      <left style="medium">
        <color indexed="30"/>
      </left>
      <right style="thick">
        <color rgb="FF0070C0"/>
      </right>
      <top style="medium">
        <color indexed="30"/>
      </top>
      <bottom style="thick">
        <color indexed="30"/>
      </bottom>
      <diagonal/>
    </border>
    <border>
      <left style="medium">
        <color indexed="30"/>
      </left>
      <right style="thick">
        <color rgb="FF0070C0"/>
      </right>
      <top style="thick">
        <color indexed="30"/>
      </top>
      <bottom style="thick">
        <color rgb="FF0070C0"/>
      </bottom>
      <diagonal/>
    </border>
    <border>
      <left style="medium">
        <color indexed="30"/>
      </left>
      <right style="thick">
        <color rgb="FF0070C0"/>
      </right>
      <top/>
      <bottom style="thick">
        <color rgb="FF0070C0"/>
      </bottom>
      <diagonal/>
    </border>
    <border>
      <left style="medium">
        <color indexed="30"/>
      </left>
      <right style="thick">
        <color indexed="30"/>
      </right>
      <top style="medium">
        <color rgb="FF0070C0"/>
      </top>
      <bottom style="medium">
        <color rgb="FF0070C0"/>
      </bottom>
      <diagonal/>
    </border>
    <border>
      <left style="medium">
        <color indexed="30"/>
      </left>
      <right style="thick">
        <color indexed="30"/>
      </right>
      <top/>
      <bottom style="medium">
        <color rgb="FF0070C0"/>
      </bottom>
      <diagonal/>
    </border>
    <border>
      <left style="thin">
        <color indexed="64"/>
      </left>
      <right style="thick">
        <color indexed="30"/>
      </right>
      <top style="thin">
        <color indexed="64"/>
      </top>
      <bottom style="thin">
        <color indexed="64"/>
      </bottom>
      <diagonal/>
    </border>
    <border>
      <left style="medium">
        <color indexed="30"/>
      </left>
      <right style="thick">
        <color indexed="30"/>
      </right>
      <top style="medium">
        <color indexed="30"/>
      </top>
      <bottom style="medium">
        <color rgb="FF0070C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30"/>
      </right>
      <top/>
      <bottom style="medium">
        <color indexed="3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</borders>
  <cellStyleXfs count="58">
    <xf numFmtId="0" fontId="0" fillId="0" borderId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35" fillId="0" borderId="0"/>
    <xf numFmtId="0" fontId="37" fillId="0" borderId="0"/>
    <xf numFmtId="0" fontId="37" fillId="0" borderId="0"/>
    <xf numFmtId="0" fontId="36" fillId="0" borderId="0"/>
    <xf numFmtId="0" fontId="4" fillId="0" borderId="0"/>
    <xf numFmtId="0" fontId="36" fillId="0" borderId="0"/>
    <xf numFmtId="0" fontId="36" fillId="0" borderId="0"/>
    <xf numFmtId="9" fontId="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1">
      <protection locked="0"/>
    </xf>
    <xf numFmtId="0" fontId="6" fillId="0" borderId="1">
      <protection locked="0"/>
    </xf>
    <xf numFmtId="0" fontId="1" fillId="0" borderId="0"/>
    <xf numFmtId="9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4" fontId="35" fillId="0" borderId="0" applyFont="0" applyFill="0" applyBorder="0" applyAlignment="0" applyProtection="0"/>
    <xf numFmtId="9" fontId="35" fillId="0" borderId="0" applyFont="0" applyFill="0" applyBorder="0" applyAlignment="0" applyProtection="0"/>
  </cellStyleXfs>
  <cellXfs count="2086">
    <xf numFmtId="0" fontId="0" fillId="0" borderId="0" xfId="0"/>
    <xf numFmtId="0" fontId="37" fillId="0" borderId="0" xfId="13" applyAlignment="1">
      <alignment vertical="center"/>
    </xf>
    <xf numFmtId="3" fontId="10" fillId="0" borderId="0" xfId="13" applyNumberFormat="1" applyFont="1" applyAlignment="1">
      <alignment vertical="center"/>
    </xf>
    <xf numFmtId="0" fontId="10" fillId="0" borderId="0" xfId="13" applyFont="1" applyAlignment="1">
      <alignment vertical="center"/>
    </xf>
    <xf numFmtId="3" fontId="11" fillId="0" borderId="0" xfId="13" applyNumberFormat="1" applyFont="1" applyAlignment="1">
      <alignment horizontal="center" vertical="center"/>
    </xf>
    <xf numFmtId="43" fontId="10" fillId="0" borderId="0" xfId="3" applyFont="1" applyAlignment="1">
      <alignment vertical="center"/>
    </xf>
    <xf numFmtId="3" fontId="9" fillId="2" borderId="9" xfId="13" applyNumberFormat="1" applyFont="1" applyFill="1" applyBorder="1" applyAlignment="1">
      <alignment vertical="center"/>
    </xf>
    <xf numFmtId="3" fontId="9" fillId="2" borderId="10" xfId="13" applyNumberFormat="1" applyFont="1" applyFill="1" applyBorder="1" applyAlignment="1">
      <alignment vertical="center"/>
    </xf>
    <xf numFmtId="0" fontId="12" fillId="2" borderId="11" xfId="13" applyFont="1" applyFill="1" applyBorder="1" applyAlignment="1">
      <alignment vertical="center"/>
    </xf>
    <xf numFmtId="0" fontId="12" fillId="2" borderId="12" xfId="13" applyFont="1" applyFill="1" applyBorder="1" applyAlignment="1">
      <alignment vertical="center"/>
    </xf>
    <xf numFmtId="3" fontId="13" fillId="0" borderId="0" xfId="13" applyNumberFormat="1" applyFont="1" applyAlignment="1">
      <alignment horizontal="center" vertical="center"/>
    </xf>
    <xf numFmtId="3" fontId="10" fillId="0" borderId="11" xfId="13" applyNumberFormat="1" applyFont="1" applyBorder="1" applyAlignment="1">
      <alignment vertical="center"/>
    </xf>
    <xf numFmtId="0" fontId="5" fillId="0" borderId="0" xfId="13" applyFont="1" applyAlignment="1">
      <alignment vertical="center"/>
    </xf>
    <xf numFmtId="3" fontId="9" fillId="0" borderId="10" xfId="13" applyNumberFormat="1" applyFont="1" applyFill="1" applyBorder="1" applyAlignment="1">
      <alignment vertical="center"/>
    </xf>
    <xf numFmtId="3" fontId="9" fillId="0" borderId="9" xfId="13" applyNumberFormat="1" applyFont="1" applyFill="1" applyBorder="1" applyAlignment="1">
      <alignment vertical="center"/>
    </xf>
    <xf numFmtId="0" fontId="12" fillId="0" borderId="13" xfId="13" applyFont="1" applyFill="1" applyBorder="1" applyAlignment="1">
      <alignment vertical="center"/>
    </xf>
    <xf numFmtId="0" fontId="5" fillId="0" borderId="0" xfId="13" applyFont="1" applyFill="1" applyAlignment="1">
      <alignment vertical="center"/>
    </xf>
    <xf numFmtId="0" fontId="37" fillId="0" borderId="0" xfId="13" applyBorder="1" applyAlignment="1">
      <alignment vertical="center"/>
    </xf>
    <xf numFmtId="3" fontId="10" fillId="0" borderId="0" xfId="13" applyNumberFormat="1" applyFont="1" applyBorder="1" applyAlignment="1">
      <alignment vertical="center"/>
    </xf>
    <xf numFmtId="3" fontId="10" fillId="0" borderId="14" xfId="13" applyNumberFormat="1" applyFont="1" applyBorder="1" applyAlignment="1">
      <alignment vertical="center"/>
    </xf>
    <xf numFmtId="0" fontId="10" fillId="0" borderId="0" xfId="13" applyFont="1" applyBorder="1" applyAlignment="1">
      <alignment vertical="center"/>
    </xf>
    <xf numFmtId="49" fontId="10" fillId="0" borderId="0" xfId="13" applyNumberFormat="1" applyFont="1" applyBorder="1" applyAlignment="1">
      <alignment horizontal="center" vertical="center"/>
    </xf>
    <xf numFmtId="0" fontId="10" fillId="0" borderId="0" xfId="13" applyFont="1" applyBorder="1" applyAlignment="1">
      <alignment horizontal="center" vertical="center"/>
    </xf>
    <xf numFmtId="3" fontId="11" fillId="0" borderId="0" xfId="13" applyNumberFormat="1" applyFont="1" applyBorder="1" applyAlignment="1">
      <alignment horizontal="center" vertical="center"/>
    </xf>
    <xf numFmtId="0" fontId="9" fillId="2" borderId="10" xfId="13" applyFont="1" applyFill="1" applyBorder="1" applyAlignment="1">
      <alignment vertical="center"/>
    </xf>
    <xf numFmtId="49" fontId="10" fillId="2" borderId="10" xfId="13" applyNumberFormat="1" applyFont="1" applyFill="1" applyBorder="1" applyAlignment="1">
      <alignment horizontal="center" vertical="center"/>
    </xf>
    <xf numFmtId="49" fontId="10" fillId="2" borderId="13" xfId="13" applyNumberFormat="1" applyFont="1" applyFill="1" applyBorder="1" applyAlignment="1">
      <alignment horizontal="center" vertical="center"/>
    </xf>
    <xf numFmtId="49" fontId="9" fillId="3" borderId="15" xfId="13" applyNumberFormat="1" applyFont="1" applyFill="1" applyBorder="1" applyAlignment="1">
      <alignment horizontal="center" vertical="center"/>
    </xf>
    <xf numFmtId="0" fontId="10" fillId="3" borderId="15" xfId="13" applyFont="1" applyFill="1" applyBorder="1" applyAlignment="1">
      <alignment horizontal="center" vertical="center"/>
    </xf>
    <xf numFmtId="49" fontId="14" fillId="3" borderId="14" xfId="13" applyNumberFormat="1" applyFont="1" applyFill="1" applyBorder="1" applyAlignment="1">
      <alignment horizontal="center" vertical="center"/>
    </xf>
    <xf numFmtId="49" fontId="14" fillId="3" borderId="15" xfId="13" applyNumberFormat="1" applyFont="1" applyFill="1" applyBorder="1" applyAlignment="1">
      <alignment horizontal="center" vertical="center"/>
    </xf>
    <xf numFmtId="49" fontId="14" fillId="3" borderId="16" xfId="13" applyNumberFormat="1" applyFont="1" applyFill="1" applyBorder="1" applyAlignment="1">
      <alignment horizontal="center" vertical="center"/>
    </xf>
    <xf numFmtId="49" fontId="9" fillId="3" borderId="17" xfId="13" applyNumberFormat="1" applyFont="1" applyFill="1" applyBorder="1" applyAlignment="1">
      <alignment horizontal="center" vertical="center"/>
    </xf>
    <xf numFmtId="0" fontId="10" fillId="3" borderId="17" xfId="13" applyFont="1" applyFill="1" applyBorder="1" applyAlignment="1">
      <alignment vertical="center"/>
    </xf>
    <xf numFmtId="49" fontId="15" fillId="3" borderId="0" xfId="13" applyNumberFormat="1" applyFont="1" applyFill="1" applyBorder="1" applyAlignment="1">
      <alignment horizontal="center" vertical="center"/>
    </xf>
    <xf numFmtId="49" fontId="15" fillId="3" borderId="17" xfId="13" applyNumberFormat="1" applyFont="1" applyFill="1" applyBorder="1" applyAlignment="1">
      <alignment horizontal="center" vertical="center"/>
    </xf>
    <xf numFmtId="49" fontId="15" fillId="3" borderId="18" xfId="13" applyNumberFormat="1" applyFont="1" applyFill="1" applyBorder="1" applyAlignment="1">
      <alignment horizontal="center" vertical="center"/>
    </xf>
    <xf numFmtId="49" fontId="9" fillId="3" borderId="19" xfId="13" applyNumberFormat="1" applyFont="1" applyFill="1" applyBorder="1" applyAlignment="1">
      <alignment horizontal="center" vertical="center"/>
    </xf>
    <xf numFmtId="0" fontId="10" fillId="3" borderId="19" xfId="13" applyFont="1" applyFill="1" applyBorder="1" applyAlignment="1">
      <alignment vertical="center"/>
    </xf>
    <xf numFmtId="49" fontId="10" fillId="3" borderId="20" xfId="13" applyNumberFormat="1" applyFont="1" applyFill="1" applyBorder="1" applyAlignment="1">
      <alignment vertical="center"/>
    </xf>
    <xf numFmtId="49" fontId="10" fillId="3" borderId="19" xfId="13" applyNumberFormat="1" applyFont="1" applyFill="1" applyBorder="1" applyAlignment="1">
      <alignment vertical="center"/>
    </xf>
    <xf numFmtId="49" fontId="14" fillId="3" borderId="21" xfId="13" applyNumberFormat="1" applyFont="1" applyFill="1" applyBorder="1" applyAlignment="1">
      <alignment horizontal="center" vertical="center"/>
    </xf>
    <xf numFmtId="3" fontId="9" fillId="0" borderId="0" xfId="13" applyNumberFormat="1" applyFont="1" applyFill="1" applyBorder="1" applyAlignment="1">
      <alignment vertical="center"/>
    </xf>
    <xf numFmtId="0" fontId="12" fillId="0" borderId="0" xfId="13" applyFont="1" applyFill="1" applyBorder="1" applyAlignment="1">
      <alignment vertical="center"/>
    </xf>
    <xf numFmtId="0" fontId="16" fillId="0" borderId="0" xfId="13" applyFont="1" applyAlignment="1">
      <alignment vertical="center"/>
    </xf>
    <xf numFmtId="3" fontId="9" fillId="2" borderId="22" xfId="13" applyNumberFormat="1" applyFont="1" applyFill="1" applyBorder="1" applyAlignment="1">
      <alignment vertical="center"/>
    </xf>
    <xf numFmtId="0" fontId="37" fillId="0" borderId="0" xfId="13" applyFont="1" applyAlignment="1">
      <alignment vertical="center"/>
    </xf>
    <xf numFmtId="3" fontId="9" fillId="0" borderId="22" xfId="13" applyNumberFormat="1" applyFont="1" applyFill="1" applyBorder="1" applyAlignment="1">
      <alignment vertical="center"/>
    </xf>
    <xf numFmtId="49" fontId="5" fillId="0" borderId="0" xfId="13" applyNumberFormat="1" applyFont="1" applyAlignment="1">
      <alignment vertical="center"/>
    </xf>
    <xf numFmtId="3" fontId="9" fillId="2" borderId="23" xfId="13" applyNumberFormat="1" applyFont="1" applyFill="1" applyBorder="1" applyAlignment="1">
      <alignment vertical="center"/>
    </xf>
    <xf numFmtId="3" fontId="9" fillId="2" borderId="24" xfId="13" applyNumberFormat="1" applyFont="1" applyFill="1" applyBorder="1" applyAlignment="1">
      <alignment vertical="center"/>
    </xf>
    <xf numFmtId="0" fontId="9" fillId="2" borderId="24" xfId="13" applyFont="1" applyFill="1" applyBorder="1" applyAlignment="1">
      <alignment vertical="center"/>
    </xf>
    <xf numFmtId="49" fontId="10" fillId="0" borderId="24" xfId="13" applyNumberFormat="1" applyFont="1" applyFill="1" applyBorder="1" applyAlignment="1">
      <alignment vertical="center"/>
    </xf>
    <xf numFmtId="49" fontId="10" fillId="0" borderId="25" xfId="13" applyNumberFormat="1" applyFont="1" applyFill="1" applyBorder="1" applyAlignment="1">
      <alignment vertical="center"/>
    </xf>
    <xf numFmtId="3" fontId="9" fillId="2" borderId="29" xfId="13" applyNumberFormat="1" applyFont="1" applyFill="1" applyBorder="1" applyAlignment="1">
      <alignment vertical="center"/>
    </xf>
    <xf numFmtId="3" fontId="9" fillId="2" borderId="30" xfId="13" applyNumberFormat="1" applyFont="1" applyFill="1" applyBorder="1" applyAlignment="1">
      <alignment vertical="center"/>
    </xf>
    <xf numFmtId="3" fontId="10" fillId="0" borderId="32" xfId="13" applyNumberFormat="1" applyFont="1" applyBorder="1" applyAlignment="1">
      <alignment vertical="center"/>
    </xf>
    <xf numFmtId="3" fontId="10" fillId="0" borderId="32" xfId="29" applyNumberFormat="1" applyFont="1" applyBorder="1" applyAlignment="1">
      <alignment vertical="center"/>
    </xf>
    <xf numFmtId="3" fontId="10" fillId="0" borderId="33" xfId="29" applyNumberFormat="1" applyFont="1" applyFill="1" applyBorder="1" applyAlignment="1">
      <alignment vertical="center"/>
    </xf>
    <xf numFmtId="0" fontId="10" fillId="0" borderId="31" xfId="13" applyFont="1" applyBorder="1" applyAlignment="1">
      <alignment vertical="center"/>
    </xf>
    <xf numFmtId="0" fontId="10" fillId="0" borderId="31" xfId="13" applyFont="1" applyBorder="1" applyAlignment="1">
      <alignment horizontal="center" vertical="center"/>
    </xf>
    <xf numFmtId="49" fontId="10" fillId="0" borderId="31" xfId="13" applyNumberFormat="1" applyFont="1" applyBorder="1" applyAlignment="1">
      <alignment horizontal="center" vertical="center"/>
    </xf>
    <xf numFmtId="49" fontId="10" fillId="0" borderId="34" xfId="13" applyNumberFormat="1" applyFont="1" applyBorder="1" applyAlignment="1">
      <alignment horizontal="center" vertical="center"/>
    </xf>
    <xf numFmtId="0" fontId="15" fillId="0" borderId="31" xfId="29" applyFont="1" applyFill="1" applyBorder="1" applyAlignment="1">
      <alignment vertical="center"/>
    </xf>
    <xf numFmtId="49" fontId="15" fillId="0" borderId="31" xfId="29" applyNumberFormat="1" applyFont="1" applyFill="1" applyBorder="1" applyAlignment="1">
      <alignment horizontal="center" vertical="center"/>
    </xf>
    <xf numFmtId="49" fontId="15" fillId="0" borderId="34" xfId="29" applyNumberFormat="1" applyFont="1" applyFill="1" applyBorder="1" applyAlignment="1">
      <alignment horizontal="center" vertical="center"/>
    </xf>
    <xf numFmtId="3" fontId="9" fillId="0" borderId="0" xfId="29" applyNumberFormat="1" applyFont="1" applyBorder="1" applyAlignment="1">
      <alignment vertical="center"/>
    </xf>
    <xf numFmtId="3" fontId="9" fillId="2" borderId="35" xfId="13" applyNumberFormat="1" applyFont="1" applyFill="1" applyBorder="1" applyAlignment="1">
      <alignment vertical="center"/>
    </xf>
    <xf numFmtId="3" fontId="10" fillId="0" borderId="0" xfId="29" applyNumberFormat="1" applyFont="1" applyBorder="1" applyAlignment="1">
      <alignment vertical="center"/>
    </xf>
    <xf numFmtId="3" fontId="10" fillId="0" borderId="31" xfId="29" applyNumberFormat="1" applyFont="1" applyFill="1" applyBorder="1" applyAlignment="1">
      <alignment vertical="center"/>
    </xf>
    <xf numFmtId="3" fontId="10" fillId="0" borderId="36" xfId="29" applyNumberFormat="1" applyFont="1" applyBorder="1" applyAlignment="1">
      <alignment vertical="center"/>
    </xf>
    <xf numFmtId="3" fontId="15" fillId="0" borderId="38" xfId="20" applyNumberFormat="1" applyFont="1" applyBorder="1" applyAlignment="1">
      <alignment vertical="center"/>
    </xf>
    <xf numFmtId="3" fontId="15" fillId="0" borderId="37" xfId="45" applyNumberFormat="1" applyFont="1" applyFill="1" applyBorder="1" applyAlignment="1" applyProtection="1">
      <alignment vertical="center"/>
      <protection locked="0"/>
    </xf>
    <xf numFmtId="0" fontId="10" fillId="0" borderId="37" xfId="13" applyFont="1" applyBorder="1" applyAlignment="1">
      <alignment vertical="center"/>
    </xf>
    <xf numFmtId="49" fontId="10" fillId="0" borderId="37" xfId="13" applyNumberFormat="1" applyFont="1" applyBorder="1" applyAlignment="1">
      <alignment horizontal="center" vertical="center"/>
    </xf>
    <xf numFmtId="0" fontId="10" fillId="0" borderId="37" xfId="13" applyFont="1" applyBorder="1" applyAlignment="1">
      <alignment horizontal="center" vertical="center"/>
    </xf>
    <xf numFmtId="0" fontId="10" fillId="0" borderId="39" xfId="13" applyFont="1" applyBorder="1" applyAlignment="1">
      <alignment horizontal="center" vertical="center"/>
    </xf>
    <xf numFmtId="3" fontId="15" fillId="0" borderId="31" xfId="20" applyNumberFormat="1" applyFont="1" applyBorder="1" applyAlignment="1">
      <alignment vertical="center"/>
    </xf>
    <xf numFmtId="3" fontId="15" fillId="0" borderId="32" xfId="20" applyNumberFormat="1" applyFont="1" applyBorder="1" applyAlignment="1">
      <alignment vertical="center"/>
    </xf>
    <xf numFmtId="3" fontId="15" fillId="0" borderId="31" xfId="45" applyNumberFormat="1" applyFont="1" applyFill="1" applyBorder="1" applyAlignment="1" applyProtection="1">
      <alignment vertical="center"/>
      <protection locked="0"/>
    </xf>
    <xf numFmtId="0" fontId="10" fillId="0" borderId="34" xfId="13" applyFont="1" applyBorder="1" applyAlignment="1">
      <alignment horizontal="center" vertical="center"/>
    </xf>
    <xf numFmtId="3" fontId="15" fillId="0" borderId="24" xfId="20" applyNumberFormat="1" applyFont="1" applyBorder="1" applyAlignment="1">
      <alignment vertical="center"/>
    </xf>
    <xf numFmtId="3" fontId="15" fillId="0" borderId="40" xfId="20" applyNumberFormat="1" applyFont="1" applyBorder="1" applyAlignment="1">
      <alignment vertical="center"/>
    </xf>
    <xf numFmtId="3" fontId="15" fillId="0" borderId="24" xfId="45" applyNumberFormat="1" applyFont="1" applyFill="1" applyBorder="1" applyAlignment="1" applyProtection="1">
      <alignment vertical="center"/>
      <protection locked="0"/>
    </xf>
    <xf numFmtId="0" fontId="10" fillId="0" borderId="24" xfId="13" applyFont="1" applyBorder="1" applyAlignment="1">
      <alignment vertical="center"/>
    </xf>
    <xf numFmtId="49" fontId="10" fillId="0" borderId="24" xfId="13" applyNumberFormat="1" applyFont="1" applyBorder="1" applyAlignment="1">
      <alignment horizontal="center" vertical="center"/>
    </xf>
    <xf numFmtId="0" fontId="10" fillId="0" borderId="24" xfId="13" applyFont="1" applyBorder="1" applyAlignment="1">
      <alignment horizontal="center" vertical="center"/>
    </xf>
    <xf numFmtId="0" fontId="10" fillId="0" borderId="25" xfId="13" applyFont="1" applyBorder="1" applyAlignment="1">
      <alignment horizontal="center" vertical="center"/>
    </xf>
    <xf numFmtId="3" fontId="9" fillId="2" borderId="41" xfId="13" applyNumberFormat="1" applyFont="1" applyFill="1" applyBorder="1" applyAlignment="1">
      <alignment vertical="center"/>
    </xf>
    <xf numFmtId="3" fontId="15" fillId="0" borderId="38" xfId="20" applyNumberFormat="1" applyFont="1" applyBorder="1" applyAlignment="1">
      <alignment horizontal="center" vertical="center"/>
    </xf>
    <xf numFmtId="3" fontId="15" fillId="0" borderId="38" xfId="20" applyNumberFormat="1" applyFont="1" applyBorder="1" applyAlignment="1">
      <alignment horizontal="right" vertical="center"/>
    </xf>
    <xf numFmtId="3" fontId="15" fillId="0" borderId="32" xfId="20" applyNumberFormat="1" applyFont="1" applyBorder="1" applyAlignment="1">
      <alignment horizontal="center" vertical="center"/>
    </xf>
    <xf numFmtId="3" fontId="15" fillId="0" borderId="32" xfId="20" applyNumberFormat="1" applyFont="1" applyBorder="1" applyAlignment="1">
      <alignment horizontal="right" vertical="center"/>
    </xf>
    <xf numFmtId="3" fontId="15" fillId="0" borderId="40" xfId="20" applyNumberFormat="1" applyFont="1" applyBorder="1" applyAlignment="1">
      <alignment horizontal="center" vertical="center"/>
    </xf>
    <xf numFmtId="3" fontId="15" fillId="0" borderId="40" xfId="20" applyNumberFormat="1" applyFont="1" applyBorder="1" applyAlignment="1">
      <alignment horizontal="right" vertical="center"/>
    </xf>
    <xf numFmtId="3" fontId="9" fillId="2" borderId="15" xfId="13" applyNumberFormat="1" applyFont="1" applyFill="1" applyBorder="1" applyAlignment="1">
      <alignment vertical="center"/>
    </xf>
    <xf numFmtId="3" fontId="15" fillId="0" borderId="31" xfId="20" applyNumberFormat="1" applyFont="1" applyFill="1" applyBorder="1" applyAlignment="1">
      <alignment vertical="center"/>
    </xf>
    <xf numFmtId="3" fontId="17" fillId="0" borderId="0" xfId="13" applyNumberFormat="1" applyFon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49" fontId="10" fillId="0" borderId="34" xfId="13" applyNumberFormat="1" applyFont="1" applyFill="1" applyBorder="1" applyAlignment="1">
      <alignment horizontal="center" vertical="center"/>
    </xf>
    <xf numFmtId="49" fontId="10" fillId="0" borderId="25" xfId="13" applyNumberFormat="1" applyFont="1" applyBorder="1" applyAlignment="1">
      <alignment horizontal="center" vertical="center"/>
    </xf>
    <xf numFmtId="0" fontId="10" fillId="0" borderId="31" xfId="13" applyFont="1" applyFill="1" applyBorder="1" applyAlignment="1">
      <alignment vertical="center"/>
    </xf>
    <xf numFmtId="49" fontId="10" fillId="0" borderId="15" xfId="13" applyNumberFormat="1" applyFont="1" applyBorder="1" applyAlignment="1">
      <alignment horizontal="center" vertical="center"/>
    </xf>
    <xf numFmtId="0" fontId="10" fillId="0" borderId="15" xfId="13" applyFont="1" applyBorder="1" applyAlignment="1">
      <alignment vertical="center"/>
    </xf>
    <xf numFmtId="3" fontId="11" fillId="2" borderId="0" xfId="13" applyNumberFormat="1" applyFont="1" applyFill="1" applyAlignment="1">
      <alignment horizontal="center" vertical="center"/>
    </xf>
    <xf numFmtId="0" fontId="18" fillId="0" borderId="0" xfId="13" applyFont="1" applyAlignment="1">
      <alignment vertical="center"/>
    </xf>
    <xf numFmtId="3" fontId="11" fillId="0" borderId="0" xfId="13" applyNumberFormat="1" applyFont="1" applyFill="1" applyAlignment="1">
      <alignment horizontal="center" vertical="center"/>
    </xf>
    <xf numFmtId="0" fontId="10" fillId="0" borderId="25" xfId="13" applyFont="1" applyFill="1" applyBorder="1" applyAlignment="1">
      <alignment horizontal="center" vertical="center"/>
    </xf>
    <xf numFmtId="0" fontId="10" fillId="0" borderId="24" xfId="13" applyFont="1" applyFill="1" applyBorder="1" applyAlignment="1">
      <alignment horizontal="center" vertical="center"/>
    </xf>
    <xf numFmtId="0" fontId="10" fillId="0" borderId="30" xfId="13" applyFont="1" applyFill="1" applyBorder="1" applyAlignment="1">
      <alignment horizontal="center" vertical="center"/>
    </xf>
    <xf numFmtId="0" fontId="10" fillId="0" borderId="24" xfId="13" applyFont="1" applyFill="1" applyBorder="1" applyAlignment="1">
      <alignment horizontal="left" vertical="center"/>
    </xf>
    <xf numFmtId="3" fontId="10" fillId="0" borderId="40" xfId="13" applyNumberFormat="1" applyFont="1" applyFill="1" applyBorder="1" applyAlignment="1">
      <alignment vertical="center"/>
    </xf>
    <xf numFmtId="3" fontId="10" fillId="0" borderId="46" xfId="13" applyNumberFormat="1" applyFont="1" applyFill="1" applyBorder="1" applyAlignment="1">
      <alignment vertical="center"/>
    </xf>
    <xf numFmtId="0" fontId="10" fillId="0" borderId="47" xfId="13" applyFont="1" applyFill="1" applyBorder="1" applyAlignment="1">
      <alignment horizontal="center" vertical="center"/>
    </xf>
    <xf numFmtId="0" fontId="10" fillId="0" borderId="30" xfId="13" applyFont="1" applyFill="1" applyBorder="1" applyAlignment="1">
      <alignment horizontal="left" vertical="center"/>
    </xf>
    <xf numFmtId="49" fontId="10" fillId="2" borderId="45" xfId="13" applyNumberFormat="1" applyFont="1" applyFill="1" applyBorder="1" applyAlignment="1">
      <alignment horizontal="center" vertical="center"/>
    </xf>
    <xf numFmtId="49" fontId="10" fillId="2" borderId="15" xfId="13" applyNumberFormat="1" applyFont="1" applyFill="1" applyBorder="1" applyAlignment="1">
      <alignment horizontal="center" vertical="center"/>
    </xf>
    <xf numFmtId="0" fontId="9" fillId="2" borderId="15" xfId="13" applyFont="1" applyFill="1" applyBorder="1" applyAlignment="1">
      <alignment vertical="center"/>
    </xf>
    <xf numFmtId="3" fontId="12" fillId="0" borderId="10" xfId="13" applyNumberFormat="1" applyFont="1" applyFill="1" applyBorder="1" applyAlignment="1">
      <alignment vertical="center"/>
    </xf>
    <xf numFmtId="3" fontId="12" fillId="0" borderId="22" xfId="13" applyNumberFormat="1" applyFont="1" applyFill="1" applyBorder="1" applyAlignment="1">
      <alignment vertical="center"/>
    </xf>
    <xf numFmtId="3" fontId="5" fillId="0" borderId="0" xfId="13" applyNumberFormat="1" applyFont="1" applyAlignment="1">
      <alignment vertical="center"/>
    </xf>
    <xf numFmtId="3" fontId="12" fillId="2" borderId="10" xfId="13" applyNumberFormat="1" applyFont="1" applyFill="1" applyBorder="1" applyAlignment="1">
      <alignment vertical="center"/>
    </xf>
    <xf numFmtId="3" fontId="12" fillId="7" borderId="10" xfId="13" applyNumberFormat="1" applyFont="1" applyFill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10" fillId="0" borderId="31" xfId="0" applyNumberFormat="1" applyFont="1" applyFill="1" applyBorder="1" applyAlignment="1">
      <alignment vertical="center"/>
    </xf>
    <xf numFmtId="3" fontId="10" fillId="0" borderId="44" xfId="0" applyNumberFormat="1" applyFont="1" applyFill="1" applyBorder="1" applyAlignment="1">
      <alignment vertical="center"/>
    </xf>
    <xf numFmtId="3" fontId="10" fillId="0" borderId="31" xfId="0" applyNumberFormat="1" applyFont="1" applyBorder="1" applyAlignment="1">
      <alignment vertical="center"/>
    </xf>
    <xf numFmtId="3" fontId="10" fillId="0" borderId="40" xfId="0" applyNumberFormat="1" applyFont="1" applyFill="1" applyBorder="1" applyAlignment="1">
      <alignment vertical="center"/>
    </xf>
    <xf numFmtId="3" fontId="10" fillId="0" borderId="23" xfId="0" applyNumberFormat="1" applyFont="1" applyFill="1" applyBorder="1" applyAlignment="1">
      <alignment vertical="center"/>
    </xf>
    <xf numFmtId="3" fontId="10" fillId="0" borderId="41" xfId="0" applyNumberFormat="1" applyFont="1" applyFill="1" applyBorder="1" applyAlignment="1">
      <alignment vertical="center"/>
    </xf>
    <xf numFmtId="3" fontId="9" fillId="2" borderId="29" xfId="0" applyNumberFormat="1" applyFont="1" applyFill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3" fontId="10" fillId="0" borderId="0" xfId="0" applyNumberFormat="1" applyFont="1" applyAlignment="1">
      <alignment vertical="center"/>
    </xf>
    <xf numFmtId="3" fontId="12" fillId="7" borderId="10" xfId="0" applyNumberFormat="1" applyFont="1" applyFill="1" applyBorder="1" applyAlignment="1">
      <alignment vertical="center"/>
    </xf>
    <xf numFmtId="49" fontId="10" fillId="0" borderId="31" xfId="13" applyNumberFormat="1" applyFont="1" applyFill="1" applyBorder="1" applyAlignment="1">
      <alignment horizontal="center" vertical="center"/>
    </xf>
    <xf numFmtId="3" fontId="20" fillId="0" borderId="0" xfId="13" applyNumberFormat="1" applyFont="1" applyAlignment="1">
      <alignment horizontal="center" vertical="center"/>
    </xf>
    <xf numFmtId="3" fontId="18" fillId="0" borderId="0" xfId="13" applyNumberFormat="1" applyFont="1" applyAlignment="1">
      <alignment vertical="center"/>
    </xf>
    <xf numFmtId="0" fontId="10" fillId="0" borderId="31" xfId="13" applyFont="1" applyFill="1" applyBorder="1" applyAlignment="1">
      <alignment horizontal="left" vertical="center"/>
    </xf>
    <xf numFmtId="0" fontId="10" fillId="0" borderId="47" xfId="13" applyFont="1" applyBorder="1" applyAlignment="1">
      <alignment horizontal="center" vertical="center"/>
    </xf>
    <xf numFmtId="0" fontId="10" fillId="0" borderId="30" xfId="13" applyFont="1" applyBorder="1" applyAlignment="1">
      <alignment horizontal="center" vertical="center"/>
    </xf>
    <xf numFmtId="49" fontId="10" fillId="0" borderId="30" xfId="13" applyNumberFormat="1" applyFont="1" applyBorder="1" applyAlignment="1">
      <alignment horizontal="center" vertical="center"/>
    </xf>
    <xf numFmtId="0" fontId="10" fillId="0" borderId="30" xfId="13" applyFont="1" applyBorder="1" applyAlignment="1">
      <alignment vertical="center"/>
    </xf>
    <xf numFmtId="3" fontId="10" fillId="0" borderId="41" xfId="13" applyNumberFormat="1" applyFont="1" applyBorder="1" applyAlignment="1">
      <alignment vertical="center"/>
    </xf>
    <xf numFmtId="3" fontId="20" fillId="0" borderId="0" xfId="13" applyNumberFormat="1" applyFont="1" applyBorder="1" applyAlignment="1">
      <alignment horizontal="center" vertical="center"/>
    </xf>
    <xf numFmtId="0" fontId="18" fillId="0" borderId="0" xfId="13" applyFont="1" applyBorder="1" applyAlignment="1">
      <alignment horizontal="center" vertical="center"/>
    </xf>
    <xf numFmtId="49" fontId="18" fillId="0" borderId="0" xfId="13" applyNumberFormat="1" applyFont="1" applyBorder="1" applyAlignment="1">
      <alignment horizontal="center" vertical="center"/>
    </xf>
    <xf numFmtId="0" fontId="18" fillId="0" borderId="0" xfId="13" applyFont="1" applyBorder="1" applyAlignment="1">
      <alignment vertical="center"/>
    </xf>
    <xf numFmtId="3" fontId="18" fillId="0" borderId="0" xfId="13" applyNumberFormat="1" applyFont="1" applyBorder="1" applyAlignment="1">
      <alignment vertical="center"/>
    </xf>
    <xf numFmtId="3" fontId="13" fillId="0" borderId="0" xfId="13" applyNumberFormat="1" applyFont="1" applyFill="1" applyAlignment="1">
      <alignment horizontal="center" vertical="center"/>
    </xf>
    <xf numFmtId="3" fontId="12" fillId="0" borderId="9" xfId="13" applyNumberFormat="1" applyFont="1" applyFill="1" applyBorder="1" applyAlignment="1">
      <alignment vertical="center"/>
    </xf>
    <xf numFmtId="3" fontId="12" fillId="2" borderId="9" xfId="13" applyNumberFormat="1" applyFont="1" applyFill="1" applyBorder="1" applyAlignment="1">
      <alignment vertical="center"/>
    </xf>
    <xf numFmtId="3" fontId="12" fillId="2" borderId="22" xfId="13" applyNumberFormat="1" applyFont="1" applyFill="1" applyBorder="1" applyAlignment="1">
      <alignment vertical="center"/>
    </xf>
    <xf numFmtId="0" fontId="12" fillId="0" borderId="0" xfId="13" applyFont="1" applyAlignment="1">
      <alignment vertical="center"/>
    </xf>
    <xf numFmtId="3" fontId="21" fillId="0" borderId="0" xfId="13" applyNumberFormat="1" applyFont="1" applyAlignment="1">
      <alignment horizontal="center" vertical="center"/>
    </xf>
    <xf numFmtId="0" fontId="22" fillId="0" borderId="0" xfId="13" applyFont="1" applyAlignment="1">
      <alignment vertical="center"/>
    </xf>
    <xf numFmtId="3" fontId="22" fillId="0" borderId="0" xfId="13" applyNumberFormat="1" applyFont="1" applyAlignment="1">
      <alignment vertical="center"/>
    </xf>
    <xf numFmtId="49" fontId="10" fillId="0" borderId="0" xfId="13" applyNumberFormat="1" applyFont="1" applyAlignment="1">
      <alignment horizontal="center" vertical="center"/>
    </xf>
    <xf numFmtId="49" fontId="10" fillId="0" borderId="0" xfId="13" applyNumberFormat="1" applyFont="1" applyAlignment="1">
      <alignment vertical="center"/>
    </xf>
    <xf numFmtId="3" fontId="10" fillId="0" borderId="0" xfId="13" applyNumberFormat="1" applyFont="1" applyAlignment="1">
      <alignment horizontal="center" vertical="center"/>
    </xf>
    <xf numFmtId="0" fontId="37" fillId="0" borderId="0" xfId="13"/>
    <xf numFmtId="49" fontId="10" fillId="3" borderId="19" xfId="13" applyNumberFormat="1" applyFont="1" applyFill="1" applyBorder="1" applyAlignment="1">
      <alignment horizontal="center" vertical="center"/>
    </xf>
    <xf numFmtId="49" fontId="10" fillId="3" borderId="20" xfId="13" applyNumberFormat="1" applyFont="1" applyFill="1" applyBorder="1" applyAlignment="1">
      <alignment horizontal="center" vertical="center"/>
    </xf>
    <xf numFmtId="49" fontId="10" fillId="3" borderId="17" xfId="13" applyNumberFormat="1" applyFont="1" applyFill="1" applyBorder="1" applyAlignment="1">
      <alignment vertical="center"/>
    </xf>
    <xf numFmtId="49" fontId="10" fillId="3" borderId="15" xfId="13" applyNumberFormat="1" applyFont="1" applyFill="1" applyBorder="1" applyAlignment="1">
      <alignment horizontal="center" vertical="center"/>
    </xf>
    <xf numFmtId="3" fontId="9" fillId="2" borderId="31" xfId="20" applyNumberFormat="1" applyFont="1" applyFill="1" applyBorder="1" applyAlignment="1">
      <alignment horizontal="right" vertical="center"/>
    </xf>
    <xf numFmtId="3" fontId="9" fillId="2" borderId="30" xfId="30" applyNumberFormat="1" applyFont="1" applyFill="1" applyBorder="1" applyAlignment="1">
      <alignment horizontal="right" vertical="center"/>
    </xf>
    <xf numFmtId="3" fontId="37" fillId="0" borderId="0" xfId="13" applyNumberFormat="1"/>
    <xf numFmtId="49" fontId="12" fillId="0" borderId="13" xfId="13" applyNumberFormat="1" applyFont="1" applyFill="1" applyBorder="1" applyAlignment="1">
      <alignment vertical="center"/>
    </xf>
    <xf numFmtId="3" fontId="12" fillId="4" borderId="10" xfId="13" applyNumberFormat="1" applyFont="1" applyFill="1" applyBorder="1" applyAlignment="1">
      <alignment vertical="center"/>
    </xf>
    <xf numFmtId="0" fontId="10" fillId="0" borderId="0" xfId="20" applyFont="1" applyAlignment="1">
      <alignment vertical="center"/>
    </xf>
    <xf numFmtId="49" fontId="10" fillId="0" borderId="0" xfId="20" applyNumberFormat="1" applyFont="1" applyAlignment="1">
      <alignment vertical="center"/>
    </xf>
    <xf numFmtId="3" fontId="5" fillId="0" borderId="0" xfId="20" applyNumberFormat="1" applyFont="1" applyAlignment="1">
      <alignment vertical="center"/>
    </xf>
    <xf numFmtId="49" fontId="12" fillId="2" borderId="12" xfId="13" applyNumberFormat="1" applyFont="1" applyFill="1" applyBorder="1" applyAlignment="1">
      <alignment horizontal="center" vertical="center"/>
    </xf>
    <xf numFmtId="49" fontId="12" fillId="2" borderId="11" xfId="13" applyNumberFormat="1" applyFont="1" applyFill="1" applyBorder="1" applyAlignment="1">
      <alignment horizontal="center" vertical="center"/>
    </xf>
    <xf numFmtId="49" fontId="12" fillId="2" borderId="11" xfId="13" applyNumberFormat="1" applyFont="1" applyFill="1" applyBorder="1" applyAlignment="1">
      <alignment vertical="center"/>
    </xf>
    <xf numFmtId="164" fontId="37" fillId="0" borderId="0" xfId="13" applyNumberFormat="1"/>
    <xf numFmtId="49" fontId="40" fillId="0" borderId="34" xfId="20" applyNumberFormat="1" applyFont="1" applyFill="1" applyBorder="1" applyAlignment="1">
      <alignment horizontal="center" vertical="center"/>
    </xf>
    <xf numFmtId="49" fontId="40" fillId="0" borderId="31" xfId="20" applyNumberFormat="1" applyFont="1" applyFill="1" applyBorder="1" applyAlignment="1">
      <alignment horizontal="center" vertical="center"/>
    </xf>
    <xf numFmtId="49" fontId="40" fillId="0" borderId="31" xfId="20" applyNumberFormat="1" applyFont="1" applyFill="1" applyBorder="1" applyAlignment="1">
      <alignment vertical="center"/>
    </xf>
    <xf numFmtId="3" fontId="35" fillId="0" borderId="31" xfId="13" applyNumberFormat="1" applyFont="1" applyFill="1" applyBorder="1" applyAlignment="1">
      <alignment horizontal="right" vertical="center"/>
    </xf>
    <xf numFmtId="3" fontId="41" fillId="7" borderId="31" xfId="20" applyNumberFormat="1" applyFont="1" applyFill="1" applyBorder="1" applyAlignment="1">
      <alignment horizontal="right" vertical="center"/>
    </xf>
    <xf numFmtId="0" fontId="40" fillId="12" borderId="34" xfId="20" applyFont="1" applyFill="1" applyBorder="1" applyAlignment="1">
      <alignment horizontal="center" vertical="center"/>
    </xf>
    <xf numFmtId="49" fontId="40" fillId="12" borderId="31" xfId="20" applyNumberFormat="1" applyFont="1" applyFill="1" applyBorder="1" applyAlignment="1">
      <alignment horizontal="center" vertical="center"/>
    </xf>
    <xf numFmtId="0" fontId="40" fillId="12" borderId="31" xfId="20" applyFont="1" applyFill="1" applyBorder="1" applyAlignment="1">
      <alignment horizontal="center" vertical="center"/>
    </xf>
    <xf numFmtId="0" fontId="40" fillId="12" borderId="31" xfId="20" applyFont="1" applyFill="1" applyBorder="1" applyAlignment="1">
      <alignment vertical="center"/>
    </xf>
    <xf numFmtId="3" fontId="35" fillId="12" borderId="31" xfId="13" applyNumberFormat="1" applyFont="1" applyFill="1" applyBorder="1" applyAlignment="1">
      <alignment horizontal="right" vertical="center"/>
    </xf>
    <xf numFmtId="0" fontId="40" fillId="0" borderId="34" xfId="30" applyFont="1" applyFill="1" applyBorder="1" applyAlignment="1">
      <alignment horizontal="center" vertical="center"/>
    </xf>
    <xf numFmtId="0" fontId="40" fillId="0" borderId="31" xfId="30" applyFont="1" applyFill="1" applyBorder="1" applyAlignment="1">
      <alignment horizontal="center" vertical="center"/>
    </xf>
    <xf numFmtId="0" fontId="40" fillId="0" borderId="31" xfId="30" applyFont="1" applyFill="1" applyBorder="1" applyAlignment="1">
      <alignment horizontal="left" vertical="center"/>
    </xf>
    <xf numFmtId="3" fontId="40" fillId="0" borderId="31" xfId="30" applyNumberFormat="1" applyFont="1" applyFill="1" applyBorder="1" applyAlignment="1">
      <alignment horizontal="right" vertical="center"/>
    </xf>
    <xf numFmtId="0" fontId="40" fillId="0" borderId="31" xfId="20" applyFont="1" applyFill="1" applyBorder="1" applyAlignment="1">
      <alignment horizontal="center" vertical="center"/>
    </xf>
    <xf numFmtId="0" fontId="40" fillId="0" borderId="34" xfId="20" applyFont="1" applyFill="1" applyBorder="1" applyAlignment="1">
      <alignment horizontal="center" vertical="center"/>
    </xf>
    <xf numFmtId="0" fontId="40" fillId="0" borderId="31" xfId="20" applyFont="1" applyFill="1" applyBorder="1" applyAlignment="1">
      <alignment vertical="center"/>
    </xf>
    <xf numFmtId="49" fontId="40" fillId="0" borderId="31" xfId="20" applyNumberFormat="1" applyFont="1" applyFill="1" applyBorder="1" applyAlignment="1">
      <alignment horizontal="left" vertical="center"/>
    </xf>
    <xf numFmtId="3" fontId="40" fillId="0" borderId="31" xfId="20" applyNumberFormat="1" applyFont="1" applyFill="1" applyBorder="1" applyAlignment="1">
      <alignment horizontal="right" vertical="center"/>
    </xf>
    <xf numFmtId="0" fontId="40" fillId="0" borderId="39" xfId="30" applyFont="1" applyFill="1" applyBorder="1" applyAlignment="1">
      <alignment horizontal="center" vertical="center"/>
    </xf>
    <xf numFmtId="0" fontId="40" fillId="0" borderId="37" xfId="30" applyFont="1" applyFill="1" applyBorder="1" applyAlignment="1">
      <alignment horizontal="center" vertical="center"/>
    </xf>
    <xf numFmtId="3" fontId="40" fillId="0" borderId="37" xfId="30" applyNumberFormat="1" applyFont="1" applyFill="1" applyBorder="1" applyAlignment="1">
      <alignment horizontal="right" vertical="center"/>
    </xf>
    <xf numFmtId="0" fontId="40" fillId="0" borderId="2" xfId="0" applyFont="1" applyBorder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3" fontId="23" fillId="0" borderId="0" xfId="13" applyNumberFormat="1" applyFont="1" applyAlignment="1">
      <alignment horizontal="center" vertical="center"/>
    </xf>
    <xf numFmtId="49" fontId="44" fillId="0" borderId="0" xfId="13" applyNumberFormat="1" applyFont="1" applyAlignment="1">
      <alignment vertical="center"/>
    </xf>
    <xf numFmtId="164" fontId="10" fillId="0" borderId="0" xfId="13" applyNumberFormat="1" applyFont="1" applyAlignment="1">
      <alignment horizontal="center" vertical="center"/>
    </xf>
    <xf numFmtId="49" fontId="44" fillId="3" borderId="19" xfId="13" applyNumberFormat="1" applyFont="1" applyFill="1" applyBorder="1" applyAlignment="1">
      <alignment vertical="center"/>
    </xf>
    <xf numFmtId="49" fontId="44" fillId="3" borderId="17" xfId="13" applyNumberFormat="1" applyFont="1" applyFill="1" applyBorder="1" applyAlignment="1">
      <alignment vertical="center"/>
    </xf>
    <xf numFmtId="49" fontId="44" fillId="3" borderId="15" xfId="13" applyNumberFormat="1" applyFont="1" applyFill="1" applyBorder="1" applyAlignment="1">
      <alignment horizontal="center" vertical="center"/>
    </xf>
    <xf numFmtId="3" fontId="23" fillId="0" borderId="0" xfId="13" applyNumberFormat="1" applyFont="1" applyFill="1" applyAlignment="1">
      <alignment horizontal="center" vertical="center"/>
    </xf>
    <xf numFmtId="0" fontId="9" fillId="2" borderId="39" xfId="30" applyFont="1" applyFill="1" applyBorder="1" applyAlignment="1">
      <alignment horizontal="center" vertical="center"/>
    </xf>
    <xf numFmtId="0" fontId="9" fillId="2" borderId="37" xfId="30" applyFont="1" applyFill="1" applyBorder="1" applyAlignment="1">
      <alignment horizontal="center" vertical="center"/>
    </xf>
    <xf numFmtId="0" fontId="45" fillId="2" borderId="37" xfId="30" applyFont="1" applyFill="1" applyBorder="1" applyAlignment="1">
      <alignment horizontal="left" vertical="center"/>
    </xf>
    <xf numFmtId="3" fontId="14" fillId="2" borderId="37" xfId="30" applyNumberFormat="1" applyFont="1" applyFill="1" applyBorder="1" applyAlignment="1">
      <alignment horizontal="right" vertical="center"/>
    </xf>
    <xf numFmtId="49" fontId="9" fillId="2" borderId="34" xfId="13" applyNumberFormat="1" applyFont="1" applyFill="1" applyBorder="1" applyAlignment="1">
      <alignment horizontal="center" vertical="center"/>
    </xf>
    <xf numFmtId="49" fontId="9" fillId="2" borderId="31" xfId="13" applyNumberFormat="1" applyFont="1" applyFill="1" applyBorder="1" applyAlignment="1">
      <alignment horizontal="center" vertical="center"/>
    </xf>
    <xf numFmtId="49" fontId="46" fillId="2" borderId="31" xfId="13" applyNumberFormat="1" applyFont="1" applyFill="1" applyBorder="1" applyAlignment="1">
      <alignment vertical="center"/>
    </xf>
    <xf numFmtId="49" fontId="9" fillId="7" borderId="34" xfId="13" applyNumberFormat="1" applyFont="1" applyFill="1" applyBorder="1" applyAlignment="1">
      <alignment horizontal="center" vertical="center"/>
    </xf>
    <xf numFmtId="49" fontId="9" fillId="7" borderId="31" xfId="13" applyNumberFormat="1" applyFont="1" applyFill="1" applyBorder="1" applyAlignment="1">
      <alignment horizontal="center" vertical="center"/>
    </xf>
    <xf numFmtId="0" fontId="46" fillId="7" borderId="31" xfId="19" applyFont="1" applyFill="1" applyBorder="1"/>
    <xf numFmtId="0" fontId="38" fillId="7" borderId="31" xfId="10" applyFont="1" applyFill="1" applyBorder="1"/>
    <xf numFmtId="0" fontId="10" fillId="0" borderId="25" xfId="30" applyFont="1" applyFill="1" applyBorder="1" applyAlignment="1">
      <alignment horizontal="center" vertical="center"/>
    </xf>
    <xf numFmtId="49" fontId="10" fillId="0" borderId="24" xfId="30" applyNumberFormat="1" applyFont="1" applyFill="1" applyBorder="1" applyAlignment="1">
      <alignment horizontal="center" vertical="center"/>
    </xf>
    <xf numFmtId="0" fontId="10" fillId="0" borderId="24" xfId="30" applyFont="1" applyFill="1" applyBorder="1" applyAlignment="1">
      <alignment horizontal="center" vertical="center"/>
    </xf>
    <xf numFmtId="0" fontId="44" fillId="0" borderId="24" xfId="30" applyFont="1" applyFill="1" applyBorder="1" applyAlignment="1">
      <alignment vertical="center"/>
    </xf>
    <xf numFmtId="0" fontId="10" fillId="0" borderId="49" xfId="30" applyFont="1" applyFill="1" applyBorder="1" applyAlignment="1">
      <alignment horizontal="center" vertical="center"/>
    </xf>
    <xf numFmtId="49" fontId="10" fillId="0" borderId="17" xfId="30" applyNumberFormat="1" applyFont="1" applyFill="1" applyBorder="1" applyAlignment="1">
      <alignment horizontal="center" vertical="center"/>
    </xf>
    <xf numFmtId="0" fontId="10" fillId="0" borderId="17" xfId="30" applyFont="1" applyFill="1" applyBorder="1" applyAlignment="1">
      <alignment horizontal="center" vertical="center"/>
    </xf>
    <xf numFmtId="0" fontId="44" fillId="0" borderId="17" xfId="30" applyFont="1" applyFill="1" applyBorder="1" applyAlignment="1">
      <alignment vertical="center"/>
    </xf>
    <xf numFmtId="49" fontId="10" fillId="0" borderId="50" xfId="13" applyNumberFormat="1" applyFont="1" applyBorder="1" applyAlignment="1">
      <alignment horizontal="center" vertical="center"/>
    </xf>
    <xf numFmtId="49" fontId="10" fillId="0" borderId="33" xfId="13" applyNumberFormat="1" applyFont="1" applyBorder="1" applyAlignment="1">
      <alignment horizontal="center" vertical="center"/>
    </xf>
    <xf numFmtId="49" fontId="44" fillId="0" borderId="33" xfId="13" applyNumberFormat="1" applyFont="1" applyBorder="1" applyAlignment="1">
      <alignment vertical="center"/>
    </xf>
    <xf numFmtId="3" fontId="10" fillId="0" borderId="33" xfId="30" applyNumberFormat="1" applyFont="1" applyBorder="1" applyAlignment="1">
      <alignment horizontal="right" vertical="center"/>
    </xf>
    <xf numFmtId="49" fontId="44" fillId="0" borderId="31" xfId="13" applyNumberFormat="1" applyFont="1" applyBorder="1" applyAlignment="1">
      <alignment vertical="center"/>
    </xf>
    <xf numFmtId="3" fontId="10" fillId="0" borderId="31" xfId="30" applyNumberFormat="1" applyFont="1" applyBorder="1" applyAlignment="1">
      <alignment horizontal="right" vertical="center"/>
    </xf>
    <xf numFmtId="3" fontId="10" fillId="5" borderId="31" xfId="13" applyNumberFormat="1" applyFont="1" applyFill="1" applyBorder="1" applyAlignment="1">
      <alignment horizontal="right" vertical="center"/>
    </xf>
    <xf numFmtId="3" fontId="10" fillId="0" borderId="33" xfId="13" applyNumberFormat="1" applyFont="1" applyBorder="1" applyAlignment="1">
      <alignment horizontal="right" vertical="center"/>
    </xf>
    <xf numFmtId="3" fontId="10" fillId="0" borderId="31" xfId="13" applyNumberFormat="1" applyFont="1" applyBorder="1" applyAlignment="1">
      <alignment horizontal="right" vertical="center"/>
    </xf>
    <xf numFmtId="3" fontId="9" fillId="2" borderId="30" xfId="13" applyNumberFormat="1" applyFont="1" applyFill="1" applyBorder="1" applyAlignment="1">
      <alignment horizontal="right" vertical="center"/>
    </xf>
    <xf numFmtId="3" fontId="23" fillId="0" borderId="0" xfId="13" applyNumberFormat="1" applyFont="1" applyBorder="1" applyAlignment="1">
      <alignment horizontal="center" vertical="center"/>
    </xf>
    <xf numFmtId="0" fontId="44" fillId="0" borderId="0" xfId="13" applyFont="1" applyBorder="1" applyAlignment="1">
      <alignment vertical="center"/>
    </xf>
    <xf numFmtId="164" fontId="24" fillId="0" borderId="0" xfId="13" applyNumberFormat="1" applyFont="1" applyBorder="1" applyAlignment="1">
      <alignment vertical="center"/>
    </xf>
    <xf numFmtId="49" fontId="5" fillId="0" borderId="0" xfId="13" applyNumberFormat="1" applyFont="1" applyFill="1" applyAlignment="1">
      <alignment horizontal="center" vertical="center"/>
    </xf>
    <xf numFmtId="49" fontId="47" fillId="0" borderId="13" xfId="13" applyNumberFormat="1" applyFont="1" applyFill="1" applyBorder="1" applyAlignment="1">
      <alignment vertical="center"/>
    </xf>
    <xf numFmtId="3" fontId="9" fillId="7" borderId="31" xfId="13" applyNumberFormat="1" applyFont="1" applyFill="1" applyBorder="1" applyAlignment="1">
      <alignment horizontal="right" vertical="center"/>
    </xf>
    <xf numFmtId="49" fontId="10" fillId="2" borderId="50" xfId="13" applyNumberFormat="1" applyFont="1" applyFill="1" applyBorder="1" applyAlignment="1">
      <alignment horizontal="center" vertical="center"/>
    </xf>
    <xf numFmtId="49" fontId="10" fillId="2" borderId="33" xfId="13" applyNumberFormat="1" applyFont="1" applyFill="1" applyBorder="1" applyAlignment="1">
      <alignment horizontal="center" vertical="center"/>
    </xf>
    <xf numFmtId="49" fontId="10" fillId="0" borderId="31" xfId="13" applyNumberFormat="1" applyFont="1" applyFill="1" applyBorder="1" applyAlignment="1">
      <alignment vertical="center"/>
    </xf>
    <xf numFmtId="49" fontId="10" fillId="0" borderId="34" xfId="13" applyNumberFormat="1" applyFont="1" applyFill="1" applyBorder="1" applyAlignment="1">
      <alignment horizontal="center"/>
    </xf>
    <xf numFmtId="49" fontId="10" fillId="0" borderId="31" xfId="13" applyNumberFormat="1" applyFont="1" applyFill="1" applyBorder="1" applyAlignment="1">
      <alignment horizontal="center"/>
    </xf>
    <xf numFmtId="49" fontId="10" fillId="2" borderId="34" xfId="13" applyNumberFormat="1" applyFont="1" applyFill="1" applyBorder="1" applyAlignment="1">
      <alignment horizontal="center"/>
    </xf>
    <xf numFmtId="49" fontId="10" fillId="2" borderId="31" xfId="13" applyNumberFormat="1" applyFont="1" applyFill="1" applyBorder="1" applyAlignment="1">
      <alignment horizontal="center"/>
    </xf>
    <xf numFmtId="3" fontId="9" fillId="7" borderId="31" xfId="30" applyNumberFormat="1" applyFont="1" applyFill="1" applyBorder="1" applyAlignment="1">
      <alignment horizontal="right" vertical="center"/>
    </xf>
    <xf numFmtId="49" fontId="9" fillId="2" borderId="31" xfId="13" applyNumberFormat="1" applyFont="1" applyFill="1" applyBorder="1" applyAlignment="1">
      <alignment vertical="center"/>
    </xf>
    <xf numFmtId="49" fontId="10" fillId="7" borderId="34" xfId="13" applyNumberFormat="1" applyFont="1" applyFill="1" applyBorder="1" applyAlignment="1">
      <alignment horizontal="center" vertical="center"/>
    </xf>
    <xf numFmtId="49" fontId="10" fillId="7" borderId="31" xfId="13" applyNumberFormat="1" applyFont="1" applyFill="1" applyBorder="1" applyAlignment="1">
      <alignment horizontal="center" vertical="center"/>
    </xf>
    <xf numFmtId="0" fontId="10" fillId="0" borderId="0" xfId="13" applyFont="1" applyFill="1" applyAlignment="1">
      <alignment vertical="center"/>
    </xf>
    <xf numFmtId="49" fontId="10" fillId="12" borderId="31" xfId="13" applyNumberFormat="1" applyFont="1" applyFill="1" applyBorder="1" applyAlignment="1">
      <alignment horizontal="center" vertical="center"/>
    </xf>
    <xf numFmtId="49" fontId="10" fillId="7" borderId="39" xfId="13" applyNumberFormat="1" applyFont="1" applyFill="1" applyBorder="1" applyAlignment="1">
      <alignment horizontal="center" vertical="center"/>
    </xf>
    <xf numFmtId="49" fontId="10" fillId="7" borderId="37" xfId="13" applyNumberFormat="1" applyFont="1" applyFill="1" applyBorder="1" applyAlignment="1">
      <alignment horizontal="center" vertical="center"/>
    </xf>
    <xf numFmtId="49" fontId="10" fillId="7" borderId="47" xfId="13" applyNumberFormat="1" applyFont="1" applyFill="1" applyBorder="1" applyAlignment="1">
      <alignment horizontal="center" vertical="center"/>
    </xf>
    <xf numFmtId="49" fontId="10" fillId="7" borderId="30" xfId="13" applyNumberFormat="1" applyFont="1" applyFill="1" applyBorder="1" applyAlignment="1">
      <alignment horizontal="center" vertical="center"/>
    </xf>
    <xf numFmtId="3" fontId="9" fillId="7" borderId="30" xfId="30" applyNumberFormat="1" applyFont="1" applyFill="1" applyBorder="1" applyAlignment="1">
      <alignment horizontal="right" vertical="center"/>
    </xf>
    <xf numFmtId="49" fontId="5" fillId="4" borderId="0" xfId="13" applyNumberFormat="1" applyFont="1" applyFill="1" applyAlignment="1">
      <alignment horizontal="center" vertical="center"/>
    </xf>
    <xf numFmtId="49" fontId="47" fillId="4" borderId="13" xfId="13" applyNumberFormat="1" applyFont="1" applyFill="1" applyBorder="1" applyAlignment="1">
      <alignment vertical="center"/>
    </xf>
    <xf numFmtId="49" fontId="5" fillId="0" borderId="0" xfId="13" applyNumberFormat="1" applyFont="1" applyAlignment="1">
      <alignment horizontal="center" vertical="center"/>
    </xf>
    <xf numFmtId="49" fontId="49" fillId="0" borderId="0" xfId="13" applyNumberFormat="1" applyFont="1" applyAlignment="1">
      <alignment vertical="center"/>
    </xf>
    <xf numFmtId="49" fontId="47" fillId="2" borderId="51" xfId="13" applyNumberFormat="1" applyFont="1" applyFill="1" applyBorder="1" applyAlignment="1">
      <alignment vertical="center"/>
    </xf>
    <xf numFmtId="3" fontId="12" fillId="0" borderId="0" xfId="13" applyNumberFormat="1" applyFont="1" applyAlignment="1">
      <alignment vertical="center"/>
    </xf>
    <xf numFmtId="3" fontId="9" fillId="13" borderId="52" xfId="13" applyNumberFormat="1" applyFont="1" applyFill="1" applyBorder="1" applyAlignment="1">
      <alignment horizontal="center" vertical="center" wrapText="1"/>
    </xf>
    <xf numFmtId="3" fontId="9" fillId="13" borderId="53" xfId="13" applyNumberFormat="1" applyFont="1" applyFill="1" applyBorder="1" applyAlignment="1">
      <alignment horizontal="center" vertical="center" wrapText="1"/>
    </xf>
    <xf numFmtId="3" fontId="9" fillId="13" borderId="42" xfId="13" applyNumberFormat="1" applyFont="1" applyFill="1" applyBorder="1" applyAlignment="1">
      <alignment horizontal="center" vertical="center" wrapText="1"/>
    </xf>
    <xf numFmtId="3" fontId="14" fillId="2" borderId="30" xfId="30" applyNumberFormat="1" applyFont="1" applyFill="1" applyBorder="1" applyAlignment="1">
      <alignment horizontal="right" vertical="center"/>
    </xf>
    <xf numFmtId="0" fontId="10" fillId="0" borderId="0" xfId="13" applyFont="1" applyAlignment="1">
      <alignment horizontal="center" vertical="center"/>
    </xf>
    <xf numFmtId="164" fontId="5" fillId="0" borderId="0" xfId="13" applyNumberFormat="1" applyFont="1" applyAlignment="1">
      <alignment vertical="center"/>
    </xf>
    <xf numFmtId="4" fontId="5" fillId="0" borderId="0" xfId="13" applyNumberFormat="1" applyFont="1" applyAlignment="1">
      <alignment vertical="center"/>
    </xf>
    <xf numFmtId="49" fontId="10" fillId="0" borderId="24" xfId="13" applyNumberFormat="1" applyFont="1" applyFill="1" applyBorder="1" applyAlignment="1">
      <alignment horizontal="center" vertical="center"/>
    </xf>
    <xf numFmtId="0" fontId="10" fillId="0" borderId="24" xfId="13" applyFont="1" applyFill="1" applyBorder="1" applyAlignment="1">
      <alignment vertical="center"/>
    </xf>
    <xf numFmtId="3" fontId="5" fillId="0" borderId="44" xfId="20" applyNumberFormat="1" applyFont="1" applyFill="1" applyBorder="1" applyAlignment="1">
      <alignment horizontal="right" vertical="center"/>
    </xf>
    <xf numFmtId="0" fontId="10" fillId="0" borderId="34" xfId="13" applyFont="1" applyBorder="1" applyAlignment="1">
      <alignment horizontal="center" vertical="center" wrapText="1"/>
    </xf>
    <xf numFmtId="0" fontId="10" fillId="0" borderId="31" xfId="13" applyFont="1" applyBorder="1" applyAlignment="1">
      <alignment horizontal="center" vertical="center" wrapText="1"/>
    </xf>
    <xf numFmtId="49" fontId="10" fillId="0" borderId="31" xfId="13" applyNumberFormat="1" applyFont="1" applyBorder="1" applyAlignment="1">
      <alignment horizontal="center" vertical="center" wrapText="1"/>
    </xf>
    <xf numFmtId="49" fontId="10" fillId="0" borderId="31" xfId="13" applyNumberFormat="1" applyFont="1" applyBorder="1" applyAlignment="1">
      <alignment horizontal="left" vertical="center" wrapText="1"/>
    </xf>
    <xf numFmtId="0" fontId="10" fillId="0" borderId="31" xfId="13" applyFont="1" applyBorder="1" applyAlignment="1">
      <alignment vertical="center" wrapText="1"/>
    </xf>
    <xf numFmtId="0" fontId="10" fillId="0" borderId="34" xfId="13" applyFont="1" applyFill="1" applyBorder="1" applyAlignment="1">
      <alignment horizontal="center" vertical="center"/>
    </xf>
    <xf numFmtId="0" fontId="10" fillId="0" borderId="31" xfId="13" applyFont="1" applyFill="1" applyBorder="1" applyAlignment="1">
      <alignment horizontal="center" vertical="center"/>
    </xf>
    <xf numFmtId="0" fontId="5" fillId="0" borderId="0" xfId="13" applyFont="1" applyBorder="1" applyAlignment="1">
      <alignment vertical="center"/>
    </xf>
    <xf numFmtId="0" fontId="10" fillId="2" borderId="16" xfId="13" applyFont="1" applyFill="1" applyBorder="1" applyAlignment="1">
      <alignment horizontal="center" vertical="center" wrapText="1"/>
    </xf>
    <xf numFmtId="0" fontId="10" fillId="2" borderId="15" xfId="13" applyFont="1" applyFill="1" applyBorder="1" applyAlignment="1">
      <alignment horizontal="center" vertical="center" wrapText="1"/>
    </xf>
    <xf numFmtId="0" fontId="9" fillId="2" borderId="35" xfId="13" applyFont="1" applyFill="1" applyBorder="1" applyAlignment="1">
      <alignment vertical="center" wrapText="1"/>
    </xf>
    <xf numFmtId="0" fontId="10" fillId="0" borderId="0" xfId="13" applyFont="1" applyBorder="1" applyAlignment="1">
      <alignment vertical="center" wrapText="1"/>
    </xf>
    <xf numFmtId="164" fontId="9" fillId="4" borderId="14" xfId="13" applyNumberFormat="1" applyFont="1" applyFill="1" applyBorder="1" applyAlignment="1">
      <alignment vertical="center"/>
    </xf>
    <xf numFmtId="0" fontId="5" fillId="0" borderId="0" xfId="13" applyFont="1" applyFill="1" applyAlignment="1">
      <alignment horizontal="center" vertical="center"/>
    </xf>
    <xf numFmtId="3" fontId="12" fillId="0" borderId="0" xfId="13" applyNumberFormat="1" applyFont="1" applyFill="1" applyBorder="1" applyAlignment="1">
      <alignment vertical="center"/>
    </xf>
    <xf numFmtId="164" fontId="12" fillId="0" borderId="0" xfId="13" applyNumberFormat="1" applyFont="1" applyFill="1" applyBorder="1" applyAlignment="1">
      <alignment vertical="center"/>
    </xf>
    <xf numFmtId="0" fontId="10" fillId="0" borderId="0" xfId="13" applyFont="1" applyFill="1" applyBorder="1" applyAlignment="1">
      <alignment horizontal="center" vertical="center"/>
    </xf>
    <xf numFmtId="0" fontId="10" fillId="0" borderId="0" xfId="13" applyFont="1" applyFill="1" applyBorder="1" applyAlignment="1">
      <alignment vertical="center"/>
    </xf>
    <xf numFmtId="3" fontId="10" fillId="0" borderId="0" xfId="13" applyNumberFormat="1" applyFont="1" applyFill="1" applyBorder="1" applyAlignment="1">
      <alignment horizontal="right" vertical="center"/>
    </xf>
    <xf numFmtId="3" fontId="12" fillId="0" borderId="10" xfId="13" applyNumberFormat="1" applyFont="1" applyFill="1" applyBorder="1" applyAlignment="1">
      <alignment horizontal="right" vertical="center"/>
    </xf>
    <xf numFmtId="3" fontId="12" fillId="7" borderId="10" xfId="13" applyNumberFormat="1" applyFont="1" applyFill="1" applyBorder="1" applyAlignment="1">
      <alignment horizontal="right" vertical="center"/>
    </xf>
    <xf numFmtId="0" fontId="5" fillId="0" borderId="0" xfId="13" applyFont="1" applyAlignment="1">
      <alignment horizontal="center" vertical="center"/>
    </xf>
    <xf numFmtId="164" fontId="10" fillId="0" borderId="0" xfId="13" applyNumberFormat="1" applyFont="1" applyAlignment="1">
      <alignment vertical="center"/>
    </xf>
    <xf numFmtId="0" fontId="10" fillId="0" borderId="0" xfId="13" applyFont="1" applyAlignment="1">
      <alignment horizontal="right" vertical="center"/>
    </xf>
    <xf numFmtId="3" fontId="5" fillId="0" borderId="32" xfId="20" applyNumberFormat="1" applyFont="1" applyFill="1" applyBorder="1" applyAlignment="1">
      <alignment horizontal="right" vertical="center"/>
    </xf>
    <xf numFmtId="3" fontId="15" fillId="0" borderId="44" xfId="0" applyNumberFormat="1" applyFont="1" applyFill="1" applyBorder="1" applyAlignment="1">
      <alignment horizontal="right" vertical="center"/>
    </xf>
    <xf numFmtId="3" fontId="10" fillId="4" borderId="44" xfId="0" applyNumberFormat="1" applyFont="1" applyFill="1" applyBorder="1" applyAlignment="1">
      <alignment vertical="center"/>
    </xf>
    <xf numFmtId="49" fontId="15" fillId="13" borderId="17" xfId="13" applyNumberFormat="1" applyFont="1" applyFill="1" applyBorder="1" applyAlignment="1">
      <alignment horizontal="center" vertical="center"/>
    </xf>
    <xf numFmtId="49" fontId="10" fillId="0" borderId="49" xfId="13" applyNumberFormat="1" applyFont="1" applyFill="1" applyBorder="1" applyAlignment="1">
      <alignment horizontal="center" vertical="center"/>
    </xf>
    <xf numFmtId="49" fontId="10" fillId="0" borderId="17" xfId="13" applyNumberFormat="1" applyFont="1" applyFill="1" applyBorder="1" applyAlignment="1">
      <alignment horizontal="center" vertical="center"/>
    </xf>
    <xf numFmtId="0" fontId="10" fillId="0" borderId="17" xfId="13" applyFont="1" applyFill="1" applyBorder="1" applyAlignment="1">
      <alignment vertical="center"/>
    </xf>
    <xf numFmtId="3" fontId="15" fillId="0" borderId="32" xfId="13" applyNumberFormat="1" applyFont="1" applyFill="1" applyBorder="1" applyAlignment="1">
      <alignment horizontal="right" vertical="center"/>
    </xf>
    <xf numFmtId="0" fontId="10" fillId="0" borderId="39" xfId="13" applyFont="1" applyBorder="1" applyAlignment="1">
      <alignment horizontal="center" vertical="center" wrapText="1"/>
    </xf>
    <xf numFmtId="0" fontId="10" fillId="0" borderId="37" xfId="13" applyFont="1" applyBorder="1" applyAlignment="1">
      <alignment horizontal="center" vertical="center" wrapText="1"/>
    </xf>
    <xf numFmtId="49" fontId="10" fillId="0" borderId="37" xfId="13" applyNumberFormat="1" applyFont="1" applyBorder="1" applyAlignment="1">
      <alignment horizontal="center" vertical="center" wrapText="1"/>
    </xf>
    <xf numFmtId="49" fontId="10" fillId="0" borderId="37" xfId="13" applyNumberFormat="1" applyFont="1" applyBorder="1" applyAlignment="1">
      <alignment horizontal="left" vertical="center" wrapText="1"/>
    </xf>
    <xf numFmtId="3" fontId="15" fillId="0" borderId="38" xfId="13" applyNumberFormat="1" applyFont="1" applyFill="1" applyBorder="1" applyAlignment="1">
      <alignment horizontal="right" vertical="center"/>
    </xf>
    <xf numFmtId="0" fontId="10" fillId="0" borderId="50" xfId="13" applyFont="1" applyBorder="1" applyAlignment="1">
      <alignment horizontal="center" vertical="center"/>
    </xf>
    <xf numFmtId="0" fontId="10" fillId="0" borderId="33" xfId="13" applyFont="1" applyBorder="1" applyAlignment="1">
      <alignment horizontal="center" vertical="center"/>
    </xf>
    <xf numFmtId="0" fontId="10" fillId="0" borderId="33" xfId="13" applyFont="1" applyBorder="1" applyAlignment="1">
      <alignment vertical="center"/>
    </xf>
    <xf numFmtId="3" fontId="10" fillId="4" borderId="32" xfId="13" applyNumberFormat="1" applyFont="1" applyFill="1" applyBorder="1" applyAlignment="1">
      <alignment vertical="center"/>
    </xf>
    <xf numFmtId="3" fontId="10" fillId="4" borderId="38" xfId="13" applyNumberFormat="1" applyFont="1" applyFill="1" applyBorder="1" applyAlignment="1">
      <alignment vertical="center"/>
    </xf>
    <xf numFmtId="3" fontId="10" fillId="4" borderId="36" xfId="13" applyNumberFormat="1" applyFont="1" applyFill="1" applyBorder="1" applyAlignment="1">
      <alignment vertical="center"/>
    </xf>
    <xf numFmtId="0" fontId="10" fillId="2" borderId="34" xfId="13" applyFont="1" applyFill="1" applyBorder="1" applyAlignment="1">
      <alignment horizontal="center" vertical="center"/>
    </xf>
    <xf numFmtId="0" fontId="10" fillId="2" borderId="31" xfId="13" applyFont="1" applyFill="1" applyBorder="1" applyAlignment="1">
      <alignment horizontal="center" vertical="center"/>
    </xf>
    <xf numFmtId="0" fontId="9" fillId="2" borderId="31" xfId="13" applyFont="1" applyFill="1" applyBorder="1" applyAlignment="1">
      <alignment horizontal="left" vertical="center"/>
    </xf>
    <xf numFmtId="3" fontId="9" fillId="2" borderId="32" xfId="13" applyNumberFormat="1" applyFont="1" applyFill="1" applyBorder="1" applyAlignment="1">
      <alignment vertical="center"/>
    </xf>
    <xf numFmtId="0" fontId="10" fillId="2" borderId="47" xfId="13" applyFont="1" applyFill="1" applyBorder="1" applyAlignment="1">
      <alignment horizontal="center" vertical="center"/>
    </xf>
    <xf numFmtId="0" fontId="10" fillId="2" borderId="30" xfId="13" applyFont="1" applyFill="1" applyBorder="1" applyAlignment="1">
      <alignment horizontal="center" vertical="center"/>
    </xf>
    <xf numFmtId="0" fontId="9" fillId="2" borderId="30" xfId="13" applyFont="1" applyFill="1" applyBorder="1" applyAlignment="1">
      <alignment vertical="center"/>
    </xf>
    <xf numFmtId="0" fontId="10" fillId="2" borderId="50" xfId="13" applyFont="1" applyFill="1" applyBorder="1" applyAlignment="1">
      <alignment horizontal="center" vertical="center"/>
    </xf>
    <xf numFmtId="0" fontId="10" fillId="2" borderId="33" xfId="13" applyFont="1" applyFill="1" applyBorder="1" applyAlignment="1">
      <alignment horizontal="center" vertical="center"/>
    </xf>
    <xf numFmtId="0" fontId="12" fillId="2" borderId="12" xfId="13" applyFont="1" applyFill="1" applyBorder="1" applyAlignment="1">
      <alignment horizontal="center" vertical="center"/>
    </xf>
    <xf numFmtId="0" fontId="12" fillId="2" borderId="11" xfId="13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49" fontId="10" fillId="0" borderId="31" xfId="0" applyNumberFormat="1" applyFont="1" applyBorder="1" applyAlignment="1">
      <alignment horizontal="center" vertical="center" wrapText="1"/>
    </xf>
    <xf numFmtId="49" fontId="10" fillId="0" borderId="31" xfId="0" applyNumberFormat="1" applyFont="1" applyBorder="1" applyAlignment="1">
      <alignment horizontal="left" vertical="center" wrapText="1"/>
    </xf>
    <xf numFmtId="3" fontId="25" fillId="0" borderId="0" xfId="13" applyNumberFormat="1" applyFont="1" applyAlignment="1">
      <alignment vertical="center"/>
    </xf>
    <xf numFmtId="3" fontId="15" fillId="0" borderId="32" xfId="20" applyNumberFormat="1" applyFont="1" applyFill="1" applyBorder="1" applyAlignment="1">
      <alignment vertical="center"/>
    </xf>
    <xf numFmtId="3" fontId="14" fillId="2" borderId="32" xfId="20" applyNumberFormat="1" applyFont="1" applyFill="1" applyBorder="1" applyAlignment="1">
      <alignment vertical="center"/>
    </xf>
    <xf numFmtId="3" fontId="9" fillId="2" borderId="31" xfId="13" applyNumberFormat="1" applyFont="1" applyFill="1" applyBorder="1" applyAlignment="1">
      <alignment vertical="center"/>
    </xf>
    <xf numFmtId="0" fontId="9" fillId="2" borderId="31" xfId="13" applyFont="1" applyFill="1" applyBorder="1" applyAlignment="1">
      <alignment vertical="center"/>
    </xf>
    <xf numFmtId="0" fontId="9" fillId="2" borderId="33" xfId="13" applyFont="1" applyFill="1" applyBorder="1" applyAlignment="1">
      <alignment vertical="center"/>
    </xf>
    <xf numFmtId="3" fontId="14" fillId="2" borderId="40" xfId="13" applyNumberFormat="1" applyFont="1" applyFill="1" applyBorder="1" applyAlignment="1">
      <alignment vertical="center"/>
    </xf>
    <xf numFmtId="3" fontId="14" fillId="2" borderId="32" xfId="13" applyNumberFormat="1" applyFont="1" applyFill="1" applyBorder="1" applyAlignment="1">
      <alignment vertical="center"/>
    </xf>
    <xf numFmtId="3" fontId="14" fillId="2" borderId="41" xfId="13" applyNumberFormat="1" applyFont="1" applyFill="1" applyBorder="1" applyAlignment="1">
      <alignment vertical="center"/>
    </xf>
    <xf numFmtId="3" fontId="26" fillId="0" borderId="0" xfId="13" applyNumberFormat="1" applyFont="1" applyFill="1" applyBorder="1" applyAlignment="1">
      <alignment vertical="center"/>
    </xf>
    <xf numFmtId="0" fontId="37" fillId="0" borderId="0" xfId="13" applyFill="1" applyAlignment="1">
      <alignment vertical="center"/>
    </xf>
    <xf numFmtId="0" fontId="5" fillId="4" borderId="0" xfId="13" applyFont="1" applyFill="1" applyAlignment="1">
      <alignment horizontal="center" vertical="center"/>
    </xf>
    <xf numFmtId="0" fontId="12" fillId="4" borderId="13" xfId="13" applyFont="1" applyFill="1" applyBorder="1" applyAlignment="1">
      <alignment vertical="center"/>
    </xf>
    <xf numFmtId="3" fontId="9" fillId="4" borderId="10" xfId="13" applyNumberFormat="1" applyFont="1" applyFill="1" applyBorder="1" applyAlignment="1">
      <alignment vertical="center"/>
    </xf>
    <xf numFmtId="3" fontId="37" fillId="0" borderId="0" xfId="13" applyNumberFormat="1" applyFont="1" applyAlignment="1">
      <alignment vertical="center"/>
    </xf>
    <xf numFmtId="49" fontId="14" fillId="0" borderId="21" xfId="13" applyNumberFormat="1" applyFont="1" applyFill="1" applyBorder="1" applyAlignment="1">
      <alignment horizontal="center" vertical="center"/>
    </xf>
    <xf numFmtId="49" fontId="15" fillId="0" borderId="18" xfId="13" applyNumberFormat="1" applyFont="1" applyFill="1" applyBorder="1" applyAlignment="1">
      <alignment horizontal="center" vertical="center"/>
    </xf>
    <xf numFmtId="49" fontId="15" fillId="0" borderId="17" xfId="13" applyNumberFormat="1" applyFont="1" applyFill="1" applyBorder="1" applyAlignment="1">
      <alignment horizontal="center" vertical="center"/>
    </xf>
    <xf numFmtId="49" fontId="10" fillId="3" borderId="0" xfId="13" applyNumberFormat="1" applyFont="1" applyFill="1" applyBorder="1" applyAlignment="1">
      <alignment vertical="center"/>
    </xf>
    <xf numFmtId="49" fontId="14" fillId="0" borderId="16" xfId="13" applyNumberFormat="1" applyFont="1" applyFill="1" applyBorder="1" applyAlignment="1">
      <alignment horizontal="center" vertical="center"/>
    </xf>
    <xf numFmtId="49" fontId="14" fillId="0" borderId="15" xfId="13" applyNumberFormat="1" applyFont="1" applyFill="1" applyBorder="1" applyAlignment="1">
      <alignment horizontal="center" vertical="center"/>
    </xf>
    <xf numFmtId="49" fontId="10" fillId="3" borderId="14" xfId="13" applyNumberFormat="1" applyFont="1" applyFill="1" applyBorder="1" applyAlignment="1">
      <alignment horizontal="center" vertical="center"/>
    </xf>
    <xf numFmtId="49" fontId="15" fillId="2" borderId="34" xfId="13" applyNumberFormat="1" applyFont="1" applyFill="1" applyBorder="1" applyAlignment="1">
      <alignment horizontal="center" vertical="center"/>
    </xf>
    <xf numFmtId="49" fontId="15" fillId="2" borderId="31" xfId="13" applyNumberFormat="1" applyFont="1" applyFill="1" applyBorder="1" applyAlignment="1">
      <alignment horizontal="center" vertical="center"/>
    </xf>
    <xf numFmtId="49" fontId="9" fillId="2" borderId="31" xfId="13" applyNumberFormat="1" applyFont="1" applyFill="1" applyBorder="1" applyAlignment="1">
      <alignment horizontal="left" vertical="center"/>
    </xf>
    <xf numFmtId="3" fontId="10" fillId="0" borderId="32" xfId="13" applyNumberFormat="1" applyFont="1" applyFill="1" applyBorder="1" applyAlignment="1">
      <alignment vertical="center"/>
    </xf>
    <xf numFmtId="49" fontId="9" fillId="2" borderId="31" xfId="13" applyNumberFormat="1" applyFont="1" applyFill="1" applyBorder="1"/>
    <xf numFmtId="49" fontId="9" fillId="2" borderId="30" xfId="13" applyNumberFormat="1" applyFont="1" applyFill="1" applyBorder="1" applyAlignment="1">
      <alignment vertical="center"/>
    </xf>
    <xf numFmtId="49" fontId="12" fillId="4" borderId="13" xfId="13" applyNumberFormat="1" applyFont="1" applyFill="1" applyBorder="1" applyAlignment="1">
      <alignment vertical="center"/>
    </xf>
    <xf numFmtId="3" fontId="9" fillId="4" borderId="9" xfId="13" applyNumberFormat="1" applyFont="1" applyFill="1" applyBorder="1" applyAlignment="1">
      <alignment vertical="center"/>
    </xf>
    <xf numFmtId="0" fontId="25" fillId="0" borderId="0" xfId="13" applyFont="1" applyAlignment="1">
      <alignment horizontal="center" vertical="center"/>
    </xf>
    <xf numFmtId="0" fontId="25" fillId="0" borderId="0" xfId="13" applyFont="1" applyAlignment="1">
      <alignment vertical="center"/>
    </xf>
    <xf numFmtId="3" fontId="9" fillId="2" borderId="31" xfId="27" applyNumberFormat="1" applyFont="1" applyFill="1" applyBorder="1" applyAlignment="1">
      <alignment vertical="center"/>
    </xf>
    <xf numFmtId="3" fontId="24" fillId="0" borderId="0" xfId="13" applyNumberFormat="1" applyFont="1" applyAlignment="1">
      <alignment vertical="center"/>
    </xf>
    <xf numFmtId="49" fontId="10" fillId="0" borderId="19" xfId="13" applyNumberFormat="1" applyFont="1" applyFill="1" applyBorder="1" applyAlignment="1">
      <alignment vertical="center"/>
    </xf>
    <xf numFmtId="49" fontId="10" fillId="0" borderId="20" xfId="13" applyNumberFormat="1" applyFont="1" applyFill="1" applyBorder="1" applyAlignment="1">
      <alignment vertical="center"/>
    </xf>
    <xf numFmtId="0" fontId="10" fillId="0" borderId="19" xfId="13" applyFont="1" applyFill="1" applyBorder="1" applyAlignment="1">
      <alignment vertical="center"/>
    </xf>
    <xf numFmtId="49" fontId="15" fillId="0" borderId="0" xfId="13" applyNumberFormat="1" applyFont="1" applyFill="1" applyBorder="1" applyAlignment="1">
      <alignment horizontal="center" vertical="center"/>
    </xf>
    <xf numFmtId="49" fontId="14" fillId="0" borderId="14" xfId="13" applyNumberFormat="1" applyFont="1" applyFill="1" applyBorder="1" applyAlignment="1">
      <alignment horizontal="center" vertical="center"/>
    </xf>
    <xf numFmtId="0" fontId="10" fillId="0" borderId="15" xfId="13" applyFont="1" applyFill="1" applyBorder="1" applyAlignment="1">
      <alignment horizontal="center" vertical="center"/>
    </xf>
    <xf numFmtId="3" fontId="27" fillId="0" borderId="0" xfId="13" applyNumberFormat="1" applyFont="1" applyAlignment="1">
      <alignment horizontal="center" vertical="center"/>
    </xf>
    <xf numFmtId="3" fontId="9" fillId="2" borderId="33" xfId="27" applyNumberFormat="1" applyFont="1" applyFill="1" applyBorder="1" applyAlignment="1">
      <alignment vertical="center"/>
    </xf>
    <xf numFmtId="0" fontId="10" fillId="7" borderId="34" xfId="13" applyFont="1" applyFill="1" applyBorder="1" applyAlignment="1">
      <alignment horizontal="center" vertical="center"/>
    </xf>
    <xf numFmtId="0" fontId="10" fillId="7" borderId="31" xfId="13" applyFont="1" applyFill="1" applyBorder="1" applyAlignment="1">
      <alignment horizontal="center" vertical="center"/>
    </xf>
    <xf numFmtId="0" fontId="9" fillId="7" borderId="31" xfId="13" applyFont="1" applyFill="1" applyBorder="1" applyAlignment="1">
      <alignment vertical="center"/>
    </xf>
    <xf numFmtId="3" fontId="9" fillId="7" borderId="31" xfId="27" applyNumberFormat="1" applyFont="1" applyFill="1" applyBorder="1" applyAlignment="1">
      <alignment vertical="center"/>
    </xf>
    <xf numFmtId="0" fontId="10" fillId="12" borderId="55" xfId="13" applyFont="1" applyFill="1" applyBorder="1" applyAlignment="1">
      <alignment horizontal="center" vertical="center"/>
    </xf>
    <xf numFmtId="0" fontId="10" fillId="12" borderId="31" xfId="13" applyFont="1" applyFill="1" applyBorder="1" applyAlignment="1">
      <alignment horizontal="center" vertical="center"/>
    </xf>
    <xf numFmtId="0" fontId="10" fillId="12" borderId="56" xfId="13" applyFont="1" applyFill="1" applyBorder="1" applyAlignment="1">
      <alignment vertical="center"/>
    </xf>
    <xf numFmtId="3" fontId="10" fillId="12" borderId="31" xfId="27" applyNumberFormat="1" applyFont="1" applyFill="1" applyBorder="1" applyAlignment="1">
      <alignment vertical="center"/>
    </xf>
    <xf numFmtId="0" fontId="10" fillId="12" borderId="55" xfId="13" applyFont="1" applyFill="1" applyBorder="1" applyAlignment="1">
      <alignment vertical="center"/>
    </xf>
    <xf numFmtId="0" fontId="37" fillId="0" borderId="0" xfId="13" applyFont="1" applyFill="1" applyAlignment="1">
      <alignment vertical="center"/>
    </xf>
    <xf numFmtId="3" fontId="10" fillId="0" borderId="31" xfId="27" applyNumberFormat="1" applyFont="1" applyBorder="1" applyAlignment="1">
      <alignment vertical="center"/>
    </xf>
    <xf numFmtId="3" fontId="9" fillId="6" borderId="31" xfId="13" applyNumberFormat="1" applyFont="1" applyFill="1" applyBorder="1" applyAlignment="1">
      <alignment vertical="center"/>
    </xf>
    <xf numFmtId="0" fontId="10" fillId="6" borderId="34" xfId="13" applyFont="1" applyFill="1" applyBorder="1" applyAlignment="1">
      <alignment horizontal="center" vertical="center"/>
    </xf>
    <xf numFmtId="0" fontId="10" fillId="6" borderId="31" xfId="13" applyFont="1" applyFill="1" applyBorder="1" applyAlignment="1">
      <alignment horizontal="center" vertical="center"/>
    </xf>
    <xf numFmtId="49" fontId="10" fillId="6" borderId="31" xfId="13" applyNumberFormat="1" applyFont="1" applyFill="1" applyBorder="1" applyAlignment="1">
      <alignment horizontal="center" vertical="center"/>
    </xf>
    <xf numFmtId="0" fontId="9" fillId="6" borderId="31" xfId="13" applyFont="1" applyFill="1" applyBorder="1" applyAlignment="1">
      <alignment horizontal="left" vertical="center"/>
    </xf>
    <xf numFmtId="0" fontId="9" fillId="6" borderId="31" xfId="13" applyFont="1" applyFill="1" applyBorder="1" applyAlignment="1">
      <alignment vertical="center"/>
    </xf>
    <xf numFmtId="3" fontId="10" fillId="0" borderId="31" xfId="27" applyNumberFormat="1" applyFont="1" applyBorder="1" applyAlignment="1">
      <alignment horizontal="right" vertical="center"/>
    </xf>
    <xf numFmtId="3" fontId="15" fillId="0" borderId="31" xfId="27" applyNumberFormat="1" applyFont="1" applyBorder="1" applyAlignment="1">
      <alignment vertical="center"/>
    </xf>
    <xf numFmtId="49" fontId="10" fillId="0" borderId="57" xfId="13" applyNumberFormat="1" applyFont="1" applyBorder="1" applyAlignment="1">
      <alignment horizontal="center" vertical="center"/>
    </xf>
    <xf numFmtId="0" fontId="10" fillId="0" borderId="56" xfId="13" applyFont="1" applyBorder="1" applyAlignment="1">
      <alignment vertical="center"/>
    </xf>
    <xf numFmtId="3" fontId="9" fillId="6" borderId="31" xfId="27" applyNumberFormat="1" applyFont="1" applyFill="1" applyBorder="1" applyAlignment="1">
      <alignment vertical="center"/>
    </xf>
    <xf numFmtId="0" fontId="10" fillId="12" borderId="34" xfId="13" applyFont="1" applyFill="1" applyBorder="1" applyAlignment="1">
      <alignment horizontal="center" vertical="center"/>
    </xf>
    <xf numFmtId="0" fontId="10" fillId="12" borderId="31" xfId="13" applyFont="1" applyFill="1" applyBorder="1" applyAlignment="1">
      <alignment horizontal="left" vertical="center"/>
    </xf>
    <xf numFmtId="3" fontId="9" fillId="12" borderId="31" xfId="13" applyNumberFormat="1" applyFont="1" applyFill="1" applyBorder="1" applyAlignment="1">
      <alignment vertical="center"/>
    </xf>
    <xf numFmtId="3" fontId="9" fillId="2" borderId="37" xfId="13" applyNumberFormat="1" applyFont="1" applyFill="1" applyBorder="1" applyAlignment="1">
      <alignment vertical="center"/>
    </xf>
    <xf numFmtId="0" fontId="9" fillId="2" borderId="58" xfId="13" applyFont="1" applyFill="1" applyBorder="1" applyAlignment="1">
      <alignment horizontal="left" vertical="center"/>
    </xf>
    <xf numFmtId="3" fontId="24" fillId="0" borderId="0" xfId="13" applyNumberFormat="1" applyFont="1" applyBorder="1" applyAlignment="1">
      <alignment vertical="center"/>
    </xf>
    <xf numFmtId="3" fontId="12" fillId="4" borderId="9" xfId="13" applyNumberFormat="1" applyFont="1" applyFill="1" applyBorder="1" applyAlignment="1">
      <alignment vertical="center"/>
    </xf>
    <xf numFmtId="0" fontId="12" fillId="4" borderId="0" xfId="13" applyFont="1" applyFill="1" applyBorder="1" applyAlignment="1">
      <alignment vertical="center"/>
    </xf>
    <xf numFmtId="3" fontId="12" fillId="4" borderId="0" xfId="13" applyNumberFormat="1" applyFont="1" applyFill="1" applyBorder="1" applyAlignment="1">
      <alignment vertical="center"/>
    </xf>
    <xf numFmtId="49" fontId="14" fillId="3" borderId="59" xfId="13" applyNumberFormat="1" applyFont="1" applyFill="1" applyBorder="1" applyAlignment="1">
      <alignment horizontal="center"/>
    </xf>
    <xf numFmtId="49" fontId="10" fillId="3" borderId="19" xfId="13" applyNumberFormat="1" applyFont="1" applyFill="1" applyBorder="1"/>
    <xf numFmtId="0" fontId="10" fillId="3" borderId="19" xfId="13" applyFont="1" applyFill="1" applyBorder="1"/>
    <xf numFmtId="49" fontId="15" fillId="3" borderId="49" xfId="13" applyNumberFormat="1" applyFont="1" applyFill="1" applyBorder="1" applyAlignment="1">
      <alignment horizontal="center"/>
    </xf>
    <xf numFmtId="49" fontId="15" fillId="3" borderId="17" xfId="13" applyNumberFormat="1" applyFont="1" applyFill="1" applyBorder="1" applyAlignment="1">
      <alignment horizontal="center"/>
    </xf>
    <xf numFmtId="0" fontId="10" fillId="3" borderId="17" xfId="13" applyFont="1" applyFill="1" applyBorder="1"/>
    <xf numFmtId="49" fontId="14" fillId="3" borderId="45" xfId="13" applyNumberFormat="1" applyFont="1" applyFill="1" applyBorder="1" applyAlignment="1">
      <alignment horizontal="center"/>
    </xf>
    <xf numFmtId="49" fontId="14" fillId="3" borderId="15" xfId="13" applyNumberFormat="1" applyFont="1" applyFill="1" applyBorder="1" applyAlignment="1">
      <alignment horizontal="center"/>
    </xf>
    <xf numFmtId="0" fontId="10" fillId="3" borderId="15" xfId="13" applyFont="1" applyFill="1" applyBorder="1" applyAlignment="1">
      <alignment horizontal="center"/>
    </xf>
    <xf numFmtId="0" fontId="10" fillId="0" borderId="13" xfId="13" applyFont="1" applyBorder="1" applyAlignment="1">
      <alignment horizontal="center" vertical="center"/>
    </xf>
    <xf numFmtId="0" fontId="10" fillId="0" borderId="10" xfId="13" applyFont="1" applyFill="1" applyBorder="1" applyAlignment="1">
      <alignment horizontal="center"/>
    </xf>
    <xf numFmtId="0" fontId="9" fillId="2" borderId="10" xfId="13" applyFont="1" applyFill="1" applyBorder="1" applyAlignment="1"/>
    <xf numFmtId="3" fontId="10" fillId="2" borderId="10" xfId="13" applyNumberFormat="1" applyFont="1" applyFill="1" applyBorder="1" applyAlignment="1">
      <alignment vertical="center"/>
    </xf>
    <xf numFmtId="3" fontId="10" fillId="2" borderId="22" xfId="13" applyNumberFormat="1" applyFont="1" applyFill="1" applyBorder="1" applyAlignment="1">
      <alignment vertical="center"/>
    </xf>
    <xf numFmtId="49" fontId="10" fillId="0" borderId="0" xfId="13" applyNumberFormat="1" applyFont="1" applyFill="1" applyBorder="1" applyAlignment="1">
      <alignment horizontal="center"/>
    </xf>
    <xf numFmtId="0" fontId="9" fillId="0" borderId="0" xfId="13" applyFont="1" applyFill="1" applyBorder="1" applyAlignment="1">
      <alignment horizontal="center"/>
    </xf>
    <xf numFmtId="49" fontId="5" fillId="0" borderId="0" xfId="13" applyNumberFormat="1" applyFont="1" applyBorder="1"/>
    <xf numFmtId="0" fontId="12" fillId="0" borderId="13" xfId="13" applyFont="1" applyFill="1" applyBorder="1"/>
    <xf numFmtId="3" fontId="12" fillId="0" borderId="10" xfId="13" applyNumberFormat="1" applyFont="1" applyFill="1" applyBorder="1"/>
    <xf numFmtId="3" fontId="12" fillId="0" borderId="22" xfId="13" applyNumberFormat="1" applyFont="1" applyFill="1" applyBorder="1"/>
    <xf numFmtId="49" fontId="5" fillId="0" borderId="0" xfId="13" applyNumberFormat="1" applyFont="1" applyFill="1"/>
    <xf numFmtId="0" fontId="5" fillId="0" borderId="0" xfId="13" applyFont="1"/>
    <xf numFmtId="3" fontId="16" fillId="0" borderId="0" xfId="13" applyNumberFormat="1" applyFont="1" applyAlignment="1">
      <alignment vertical="center"/>
    </xf>
    <xf numFmtId="49" fontId="12" fillId="2" borderId="12" xfId="13" applyNumberFormat="1" applyFont="1" applyFill="1" applyBorder="1"/>
    <xf numFmtId="49" fontId="12" fillId="2" borderId="11" xfId="13" applyNumberFormat="1" applyFont="1" applyFill="1" applyBorder="1"/>
    <xf numFmtId="0" fontId="12" fillId="2" borderId="11" xfId="13" applyFont="1" applyFill="1" applyBorder="1"/>
    <xf numFmtId="3" fontId="12" fillId="2" borderId="9" xfId="13" applyNumberFormat="1" applyFont="1" applyFill="1" applyBorder="1"/>
    <xf numFmtId="3" fontId="10" fillId="2" borderId="8" xfId="13" applyNumberFormat="1" applyFont="1" applyFill="1" applyBorder="1" applyAlignment="1">
      <alignment vertical="center"/>
    </xf>
    <xf numFmtId="3" fontId="12" fillId="0" borderId="11" xfId="13" applyNumberFormat="1" applyFont="1" applyFill="1" applyBorder="1"/>
    <xf numFmtId="0" fontId="15" fillId="0" borderId="0" xfId="13" applyFont="1" applyAlignment="1">
      <alignment horizontal="left" vertical="center"/>
    </xf>
    <xf numFmtId="49" fontId="10" fillId="0" borderId="24" xfId="13" applyNumberFormat="1" applyFont="1" applyBorder="1" applyAlignment="1">
      <alignment vertical="center"/>
    </xf>
    <xf numFmtId="3" fontId="10" fillId="0" borderId="40" xfId="30" applyNumberFormat="1" applyFont="1" applyBorder="1" applyAlignment="1">
      <alignment horizontal="right" vertical="center"/>
    </xf>
    <xf numFmtId="49" fontId="10" fillId="0" borderId="31" xfId="13" applyNumberFormat="1" applyFont="1" applyBorder="1" applyAlignment="1">
      <alignment vertical="center"/>
    </xf>
    <xf numFmtId="3" fontId="10" fillId="0" borderId="32" xfId="30" applyNumberFormat="1" applyFont="1" applyBorder="1" applyAlignment="1">
      <alignment horizontal="right" vertical="center"/>
    </xf>
    <xf numFmtId="3" fontId="9" fillId="2" borderId="41" xfId="13" applyNumberFormat="1" applyFont="1" applyFill="1" applyBorder="1" applyAlignment="1">
      <alignment horizontal="right" vertical="center"/>
    </xf>
    <xf numFmtId="3" fontId="15" fillId="0" borderId="32" xfId="30" applyNumberFormat="1" applyFont="1" applyBorder="1" applyAlignment="1">
      <alignment horizontal="right" vertical="center"/>
    </xf>
    <xf numFmtId="3" fontId="15" fillId="0" borderId="40" xfId="30" applyNumberFormat="1" applyFont="1" applyBorder="1" applyAlignment="1">
      <alignment horizontal="right" vertical="center"/>
    </xf>
    <xf numFmtId="49" fontId="10" fillId="0" borderId="50" xfId="13" applyNumberFormat="1" applyFont="1" applyFill="1" applyBorder="1" applyAlignment="1">
      <alignment horizontal="center" vertical="center"/>
    </xf>
    <xf numFmtId="49" fontId="10" fillId="0" borderId="33" xfId="13" applyNumberFormat="1" applyFont="1" applyFill="1" applyBorder="1" applyAlignment="1">
      <alignment horizontal="center" vertical="center"/>
    </xf>
    <xf numFmtId="49" fontId="10" fillId="0" borderId="33" xfId="13" applyNumberFormat="1" applyFont="1" applyFill="1" applyBorder="1" applyAlignment="1">
      <alignment vertical="center"/>
    </xf>
    <xf numFmtId="3" fontId="10" fillId="0" borderId="36" xfId="13" applyNumberFormat="1" applyFont="1" applyFill="1" applyBorder="1" applyAlignment="1">
      <alignment horizontal="right" vertical="center"/>
    </xf>
    <xf numFmtId="3" fontId="27" fillId="0" borderId="0" xfId="13" applyNumberFormat="1" applyFont="1" applyFill="1" applyAlignment="1">
      <alignment horizontal="center" vertical="center"/>
    </xf>
    <xf numFmtId="49" fontId="10" fillId="0" borderId="33" xfId="13" applyNumberFormat="1" applyFont="1" applyBorder="1" applyAlignment="1">
      <alignment vertical="center"/>
    </xf>
    <xf numFmtId="49" fontId="10" fillId="0" borderId="33" xfId="13" applyNumberFormat="1" applyFont="1" applyBorder="1" applyAlignment="1">
      <alignment horizontal="left" vertical="center"/>
    </xf>
    <xf numFmtId="3" fontId="10" fillId="0" borderId="38" xfId="30" applyNumberFormat="1" applyFont="1" applyBorder="1" applyAlignment="1">
      <alignment horizontal="right" vertical="center"/>
    </xf>
    <xf numFmtId="3" fontId="15" fillId="0" borderId="38" xfId="30" applyNumberFormat="1" applyFont="1" applyBorder="1" applyAlignment="1">
      <alignment horizontal="right" vertical="center"/>
    </xf>
    <xf numFmtId="49" fontId="9" fillId="2" borderId="37" xfId="13" applyNumberFormat="1" applyFont="1" applyFill="1" applyBorder="1" applyAlignment="1">
      <alignment vertical="center"/>
    </xf>
    <xf numFmtId="3" fontId="9" fillId="2" borderId="38" xfId="30" applyNumberFormat="1" applyFont="1" applyFill="1" applyBorder="1" applyAlignment="1">
      <alignment horizontal="right" vertical="center"/>
    </xf>
    <xf numFmtId="49" fontId="10" fillId="0" borderId="25" xfId="30" applyNumberFormat="1" applyFont="1" applyBorder="1" applyAlignment="1">
      <alignment horizontal="center" vertical="center"/>
    </xf>
    <xf numFmtId="49" fontId="10" fillId="0" borderId="24" xfId="30" applyNumberFormat="1" applyFont="1" applyBorder="1" applyAlignment="1">
      <alignment horizontal="center" vertical="center"/>
    </xf>
    <xf numFmtId="49" fontId="10" fillId="0" borderId="24" xfId="30" applyNumberFormat="1" applyFont="1" applyBorder="1" applyAlignment="1">
      <alignment vertical="center"/>
    </xf>
    <xf numFmtId="49" fontId="10" fillId="0" borderId="50" xfId="30" applyNumberFormat="1" applyFont="1" applyBorder="1" applyAlignment="1">
      <alignment horizontal="center" vertical="center"/>
    </xf>
    <xf numFmtId="49" fontId="10" fillId="0" borderId="33" xfId="30" applyNumberFormat="1" applyFont="1" applyBorder="1" applyAlignment="1">
      <alignment horizontal="center" vertical="center"/>
    </xf>
    <xf numFmtId="49" fontId="10" fillId="0" borderId="33" xfId="30" applyNumberFormat="1" applyFont="1" applyBorder="1" applyAlignment="1">
      <alignment vertical="center"/>
    </xf>
    <xf numFmtId="3" fontId="10" fillId="0" borderId="36" xfId="30" applyNumberFormat="1" applyFont="1" applyBorder="1" applyAlignment="1">
      <alignment horizontal="right" vertical="center"/>
    </xf>
    <xf numFmtId="49" fontId="10" fillId="0" borderId="34" xfId="30" applyNumberFormat="1" applyFont="1" applyBorder="1" applyAlignment="1">
      <alignment horizontal="center" vertical="center"/>
    </xf>
    <xf numFmtId="49" fontId="10" fillId="0" borderId="31" xfId="30" applyNumberFormat="1" applyFont="1" applyBorder="1" applyAlignment="1">
      <alignment horizontal="center" vertical="center"/>
    </xf>
    <xf numFmtId="49" fontId="10" fillId="0" borderId="31" xfId="30" applyNumberFormat="1" applyFont="1" applyBorder="1" applyAlignment="1">
      <alignment vertical="center"/>
    </xf>
    <xf numFmtId="3" fontId="9" fillId="2" borderId="46" xfId="30" applyNumberFormat="1" applyFont="1" applyFill="1" applyBorder="1" applyAlignment="1">
      <alignment horizontal="right" vertical="center"/>
    </xf>
    <xf numFmtId="3" fontId="15" fillId="0" borderId="32" xfId="30" applyNumberFormat="1" applyFont="1" applyFill="1" applyBorder="1" applyAlignment="1">
      <alignment horizontal="right" vertical="center"/>
    </xf>
    <xf numFmtId="3" fontId="15" fillId="0" borderId="38" xfId="30" applyNumberFormat="1" applyFont="1" applyFill="1" applyBorder="1" applyAlignment="1">
      <alignment horizontal="right" vertical="center"/>
    </xf>
    <xf numFmtId="49" fontId="9" fillId="2" borderId="37" xfId="30" applyNumberFormat="1" applyFont="1" applyFill="1" applyBorder="1" applyAlignment="1">
      <alignment vertical="center"/>
    </xf>
    <xf numFmtId="3" fontId="9" fillId="2" borderId="32" xfId="30" applyNumberFormat="1" applyFont="1" applyFill="1" applyBorder="1" applyAlignment="1">
      <alignment horizontal="right" vertical="center"/>
    </xf>
    <xf numFmtId="49" fontId="10" fillId="0" borderId="37" xfId="13" applyNumberFormat="1" applyFont="1" applyBorder="1" applyAlignment="1">
      <alignment vertical="center"/>
    </xf>
    <xf numFmtId="49" fontId="10" fillId="0" borderId="34" xfId="30" applyNumberFormat="1" applyFont="1" applyFill="1" applyBorder="1" applyAlignment="1">
      <alignment horizontal="center" vertical="center"/>
    </xf>
    <xf numFmtId="49" fontId="10" fillId="0" borderId="31" xfId="30" applyNumberFormat="1" applyFont="1" applyFill="1" applyBorder="1" applyAlignment="1">
      <alignment horizontal="center" vertical="center"/>
    </xf>
    <xf numFmtId="49" fontId="10" fillId="0" borderId="31" xfId="30" applyNumberFormat="1" applyFont="1" applyFill="1" applyBorder="1" applyAlignment="1">
      <alignment vertical="center"/>
    </xf>
    <xf numFmtId="49" fontId="10" fillId="0" borderId="39" xfId="13" applyNumberFormat="1" applyFont="1" applyFill="1" applyBorder="1" applyAlignment="1">
      <alignment horizontal="center" vertical="center"/>
    </xf>
    <xf numFmtId="49" fontId="10" fillId="0" borderId="37" xfId="13" applyNumberFormat="1" applyFont="1" applyFill="1" applyBorder="1" applyAlignment="1">
      <alignment horizontal="center" vertical="center"/>
    </xf>
    <xf numFmtId="49" fontId="10" fillId="0" borderId="37" xfId="30" applyNumberFormat="1" applyFont="1" applyFill="1" applyBorder="1" applyAlignment="1">
      <alignment vertical="center"/>
    </xf>
    <xf numFmtId="3" fontId="10" fillId="0" borderId="32" xfId="30" applyNumberFormat="1" applyFont="1" applyFill="1" applyBorder="1" applyAlignment="1">
      <alignment horizontal="right" vertical="center"/>
    </xf>
    <xf numFmtId="49" fontId="15" fillId="0" borderId="37" xfId="30" applyNumberFormat="1" applyFont="1" applyFill="1" applyBorder="1" applyAlignment="1">
      <alignment vertical="center"/>
    </xf>
    <xf numFmtId="3" fontId="10" fillId="4" borderId="32" xfId="30" applyNumberFormat="1" applyFont="1" applyFill="1" applyBorder="1" applyAlignment="1">
      <alignment horizontal="right" vertical="center"/>
    </xf>
    <xf numFmtId="49" fontId="9" fillId="2" borderId="10" xfId="30" applyNumberFormat="1" applyFont="1" applyFill="1" applyBorder="1" applyAlignment="1">
      <alignment vertical="center"/>
    </xf>
    <xf numFmtId="3" fontId="9" fillId="2" borderId="9" xfId="30" applyNumberFormat="1" applyFont="1" applyFill="1" applyBorder="1" applyAlignment="1">
      <alignment horizontal="right" vertical="center"/>
    </xf>
    <xf numFmtId="3" fontId="9" fillId="2" borderId="22" xfId="30" applyNumberFormat="1" applyFont="1" applyFill="1" applyBorder="1" applyAlignment="1">
      <alignment horizontal="right" vertical="center"/>
    </xf>
    <xf numFmtId="3" fontId="10" fillId="0" borderId="0" xfId="13" applyNumberFormat="1" applyFont="1" applyBorder="1" applyAlignment="1">
      <alignment horizontal="right" vertical="center"/>
    </xf>
    <xf numFmtId="49" fontId="9" fillId="2" borderId="33" xfId="30" applyNumberFormat="1" applyFont="1" applyFill="1" applyBorder="1" applyAlignment="1">
      <alignment vertical="center" wrapText="1"/>
    </xf>
    <xf numFmtId="49" fontId="9" fillId="2" borderId="31" xfId="30" applyNumberFormat="1" applyFont="1" applyFill="1" applyBorder="1" applyAlignment="1">
      <alignment vertical="center"/>
    </xf>
    <xf numFmtId="49" fontId="9" fillId="0" borderId="31" xfId="30" applyNumberFormat="1" applyFont="1" applyFill="1" applyBorder="1" applyAlignment="1">
      <alignment vertical="center"/>
    </xf>
    <xf numFmtId="3" fontId="9" fillId="0" borderId="32" xfId="30" applyNumberFormat="1" applyFont="1" applyFill="1" applyBorder="1" applyAlignment="1">
      <alignment horizontal="right" vertical="center"/>
    </xf>
    <xf numFmtId="49" fontId="9" fillId="2" borderId="31" xfId="30" applyNumberFormat="1" applyFont="1" applyFill="1" applyBorder="1" applyAlignment="1">
      <alignment vertical="center" wrapText="1"/>
    </xf>
    <xf numFmtId="49" fontId="9" fillId="7" borderId="33" xfId="30" applyNumberFormat="1" applyFont="1" applyFill="1" applyBorder="1" applyAlignment="1">
      <alignment vertical="center"/>
    </xf>
    <xf numFmtId="3" fontId="9" fillId="7" borderId="32" xfId="30" applyNumberFormat="1" applyFont="1" applyFill="1" applyBorder="1" applyAlignment="1">
      <alignment horizontal="right" vertical="center"/>
    </xf>
    <xf numFmtId="49" fontId="10" fillId="12" borderId="50" xfId="13" applyNumberFormat="1" applyFont="1" applyFill="1" applyBorder="1" applyAlignment="1">
      <alignment horizontal="center" vertical="center"/>
    </xf>
    <xf numFmtId="49" fontId="10" fillId="12" borderId="33" xfId="13" applyNumberFormat="1" applyFont="1" applyFill="1" applyBorder="1" applyAlignment="1">
      <alignment horizontal="center" vertical="center"/>
    </xf>
    <xf numFmtId="49" fontId="10" fillId="12" borderId="33" xfId="30" applyNumberFormat="1" applyFont="1" applyFill="1" applyBorder="1" applyAlignment="1">
      <alignment vertical="center"/>
    </xf>
    <xf numFmtId="3" fontId="10" fillId="12" borderId="33" xfId="30" applyNumberFormat="1" applyFont="1" applyFill="1" applyBorder="1" applyAlignment="1">
      <alignment horizontal="right" vertical="center"/>
    </xf>
    <xf numFmtId="3" fontId="9" fillId="7" borderId="33" xfId="30" applyNumberFormat="1" applyFont="1" applyFill="1" applyBorder="1" applyAlignment="1">
      <alignment horizontal="right" vertical="center"/>
    </xf>
    <xf numFmtId="49" fontId="9" fillId="7" borderId="31" xfId="30" applyNumberFormat="1" applyFont="1" applyFill="1" applyBorder="1" applyAlignment="1">
      <alignment vertical="center"/>
    </xf>
    <xf numFmtId="49" fontId="9" fillId="2" borderId="15" xfId="30" applyNumberFormat="1" applyFont="1" applyFill="1" applyBorder="1" applyAlignment="1">
      <alignment vertical="center"/>
    </xf>
    <xf numFmtId="3" fontId="9" fillId="2" borderId="29" xfId="30" applyNumberFormat="1" applyFont="1" applyFill="1" applyBorder="1" applyAlignment="1">
      <alignment horizontal="right" vertical="center"/>
    </xf>
    <xf numFmtId="49" fontId="10" fillId="0" borderId="0" xfId="13" applyNumberFormat="1" applyFont="1" applyFill="1" applyBorder="1" applyAlignment="1">
      <alignment horizontal="center" vertical="center"/>
    </xf>
    <xf numFmtId="49" fontId="9" fillId="0" borderId="0" xfId="30" applyNumberFormat="1" applyFont="1" applyFill="1" applyBorder="1" applyAlignment="1">
      <alignment vertical="center"/>
    </xf>
    <xf numFmtId="3" fontId="9" fillId="0" borderId="0" xfId="30" applyNumberFormat="1" applyFont="1" applyFill="1" applyBorder="1" applyAlignment="1">
      <alignment horizontal="right" vertical="center"/>
    </xf>
    <xf numFmtId="3" fontId="5" fillId="0" borderId="0" xfId="13" applyNumberFormat="1" applyFont="1" applyAlignment="1">
      <alignment horizontal="right" vertical="center"/>
    </xf>
    <xf numFmtId="3" fontId="12" fillId="2" borderId="9" xfId="13" applyNumberFormat="1" applyFont="1" applyFill="1" applyBorder="1" applyAlignment="1">
      <alignment horizontal="right" vertical="center"/>
    </xf>
    <xf numFmtId="3" fontId="15" fillId="4" borderId="40" xfId="45" applyNumberFormat="1" applyFont="1" applyFill="1" applyBorder="1" applyAlignment="1" applyProtection="1">
      <alignment vertical="center"/>
      <protection locked="0"/>
    </xf>
    <xf numFmtId="3" fontId="15" fillId="0" borderId="32" xfId="45" applyNumberFormat="1" applyFont="1" applyFill="1" applyBorder="1" applyAlignment="1" applyProtection="1">
      <alignment vertical="center"/>
      <protection locked="0"/>
    </xf>
    <xf numFmtId="0" fontId="10" fillId="15" borderId="34" xfId="13" applyFont="1" applyFill="1" applyBorder="1" applyAlignment="1">
      <alignment horizontal="center" vertical="center"/>
    </xf>
    <xf numFmtId="49" fontId="10" fillId="15" borderId="31" xfId="13" applyNumberFormat="1" applyFont="1" applyFill="1" applyBorder="1" applyAlignment="1">
      <alignment horizontal="center" vertical="center"/>
    </xf>
    <xf numFmtId="0" fontId="10" fillId="15" borderId="31" xfId="13" applyFont="1" applyFill="1" applyBorder="1" applyAlignment="1">
      <alignment vertical="center"/>
    </xf>
    <xf numFmtId="3" fontId="15" fillId="15" borderId="32" xfId="45" applyNumberFormat="1" applyFont="1" applyFill="1" applyBorder="1" applyAlignment="1" applyProtection="1">
      <alignment vertical="center"/>
      <protection locked="0"/>
    </xf>
    <xf numFmtId="0" fontId="10" fillId="15" borderId="31" xfId="13" applyFont="1" applyFill="1" applyBorder="1" applyAlignment="1">
      <alignment horizontal="center" vertical="center"/>
    </xf>
    <xf numFmtId="0" fontId="10" fillId="16" borderId="34" xfId="13" applyFont="1" applyFill="1" applyBorder="1" applyAlignment="1">
      <alignment horizontal="center" vertical="center"/>
    </xf>
    <xf numFmtId="0" fontId="10" fillId="16" borderId="31" xfId="13" applyFont="1" applyFill="1" applyBorder="1" applyAlignment="1">
      <alignment horizontal="center" vertical="center"/>
    </xf>
    <xf numFmtId="0" fontId="10" fillId="16" borderId="31" xfId="13" applyFont="1" applyFill="1" applyBorder="1" applyAlignment="1">
      <alignment vertical="center"/>
    </xf>
    <xf numFmtId="3" fontId="15" fillId="16" borderId="32" xfId="45" applyNumberFormat="1" applyFont="1" applyFill="1" applyBorder="1" applyAlignment="1" applyProtection="1">
      <alignment vertical="center"/>
      <protection locked="0"/>
    </xf>
    <xf numFmtId="3" fontId="10" fillId="0" borderId="40" xfId="13" applyNumberFormat="1" applyFont="1" applyBorder="1" applyAlignment="1">
      <alignment vertical="center"/>
    </xf>
    <xf numFmtId="3" fontId="10" fillId="0" borderId="36" xfId="13" applyNumberFormat="1" applyFont="1" applyBorder="1" applyAlignment="1">
      <alignment vertical="center"/>
    </xf>
    <xf numFmtId="0" fontId="28" fillId="0" borderId="0" xfId="13" applyFont="1" applyAlignment="1">
      <alignment horizontal="center"/>
    </xf>
    <xf numFmtId="0" fontId="10" fillId="2" borderId="24" xfId="13" applyFont="1" applyFill="1" applyBorder="1" applyAlignment="1">
      <alignment vertical="center"/>
    </xf>
    <xf numFmtId="3" fontId="10" fillId="2" borderId="23" xfId="13" applyNumberFormat="1" applyFont="1" applyFill="1" applyBorder="1" applyAlignment="1">
      <alignment vertical="center"/>
    </xf>
    <xf numFmtId="49" fontId="10" fillId="0" borderId="47" xfId="13" applyNumberFormat="1" applyFont="1" applyBorder="1" applyAlignment="1">
      <alignment horizontal="center" vertical="center"/>
    </xf>
    <xf numFmtId="0" fontId="10" fillId="2" borderId="30" xfId="13" applyFont="1" applyFill="1" applyBorder="1" applyAlignment="1">
      <alignment vertical="center"/>
    </xf>
    <xf numFmtId="3" fontId="10" fillId="2" borderId="48" xfId="13" applyNumberFormat="1" applyFont="1" applyFill="1" applyBorder="1" applyAlignment="1">
      <alignment vertical="center"/>
    </xf>
    <xf numFmtId="3" fontId="9" fillId="2" borderId="8" xfId="30" applyNumberFormat="1" applyFont="1" applyFill="1" applyBorder="1" applyAlignment="1">
      <alignment horizontal="right" vertical="center"/>
    </xf>
    <xf numFmtId="49" fontId="10" fillId="0" borderId="34" xfId="20" applyNumberFormat="1" applyFont="1" applyBorder="1" applyAlignment="1">
      <alignment horizontal="center" vertical="center"/>
    </xf>
    <xf numFmtId="49" fontId="10" fillId="0" borderId="31" xfId="20" applyNumberFormat="1" applyFont="1" applyBorder="1" applyAlignment="1">
      <alignment horizontal="center" vertical="center"/>
    </xf>
    <xf numFmtId="49" fontId="10" fillId="0" borderId="31" xfId="20" applyNumberFormat="1" applyFont="1" applyBorder="1" applyAlignment="1">
      <alignment vertical="center"/>
    </xf>
    <xf numFmtId="49" fontId="10" fillId="0" borderId="39" xfId="20" applyNumberFormat="1" applyFont="1" applyFill="1" applyBorder="1" applyAlignment="1">
      <alignment horizontal="center" vertical="center"/>
    </xf>
    <xf numFmtId="49" fontId="10" fillId="0" borderId="37" xfId="20" applyNumberFormat="1" applyFont="1" applyFill="1" applyBorder="1" applyAlignment="1">
      <alignment horizontal="center" vertical="center"/>
    </xf>
    <xf numFmtId="3" fontId="11" fillId="0" borderId="0" xfId="13" applyNumberFormat="1" applyFont="1" applyAlignment="1">
      <alignment horizontal="center"/>
    </xf>
    <xf numFmtId="0" fontId="10" fillId="0" borderId="0" xfId="13" applyFont="1"/>
    <xf numFmtId="49" fontId="14" fillId="3" borderId="21" xfId="13" applyNumberFormat="1" applyFont="1" applyFill="1" applyBorder="1" applyAlignment="1">
      <alignment horizontal="center"/>
    </xf>
    <xf numFmtId="49" fontId="10" fillId="3" borderId="20" xfId="13" applyNumberFormat="1" applyFont="1" applyFill="1" applyBorder="1"/>
    <xf numFmtId="49" fontId="15" fillId="3" borderId="18" xfId="13" applyNumberFormat="1" applyFont="1" applyFill="1" applyBorder="1" applyAlignment="1">
      <alignment horizontal="center"/>
    </xf>
    <xf numFmtId="49" fontId="15" fillId="3" borderId="0" xfId="13" applyNumberFormat="1" applyFont="1" applyFill="1" applyBorder="1" applyAlignment="1">
      <alignment horizontal="center"/>
    </xf>
    <xf numFmtId="49" fontId="14" fillId="3" borderId="16" xfId="13" applyNumberFormat="1" applyFont="1" applyFill="1" applyBorder="1" applyAlignment="1">
      <alignment horizontal="center"/>
    </xf>
    <xf numFmtId="49" fontId="14" fillId="3" borderId="14" xfId="13" applyNumberFormat="1" applyFont="1" applyFill="1" applyBorder="1" applyAlignment="1">
      <alignment horizontal="center"/>
    </xf>
    <xf numFmtId="0" fontId="10" fillId="0" borderId="25" xfId="20" applyFont="1" applyBorder="1" applyAlignment="1">
      <alignment horizontal="center" vertical="center"/>
    </xf>
    <xf numFmtId="0" fontId="10" fillId="0" borderId="24" xfId="20" applyFont="1" applyBorder="1" applyAlignment="1">
      <alignment horizontal="center" vertical="center"/>
    </xf>
    <xf numFmtId="49" fontId="10" fillId="0" borderId="24" xfId="20" applyNumberFormat="1" applyFont="1" applyBorder="1" applyAlignment="1">
      <alignment horizontal="center" vertical="center"/>
    </xf>
    <xf numFmtId="0" fontId="10" fillId="0" borderId="24" xfId="20" applyFont="1" applyBorder="1" applyAlignment="1">
      <alignment vertical="center"/>
    </xf>
    <xf numFmtId="3" fontId="15" fillId="0" borderId="24" xfId="20" applyNumberFormat="1" applyFont="1" applyFill="1" applyBorder="1" applyAlignment="1">
      <alignment vertical="center"/>
    </xf>
    <xf numFmtId="0" fontId="10" fillId="0" borderId="34" xfId="20" applyFont="1" applyBorder="1" applyAlignment="1">
      <alignment horizontal="center" vertical="center"/>
    </xf>
    <xf numFmtId="0" fontId="10" fillId="0" borderId="31" xfId="20" applyFont="1" applyBorder="1" applyAlignment="1">
      <alignment horizontal="center" vertical="center"/>
    </xf>
    <xf numFmtId="0" fontId="10" fillId="0" borderId="31" xfId="20" applyFont="1" applyBorder="1" applyAlignment="1">
      <alignment vertical="center"/>
    </xf>
    <xf numFmtId="3" fontId="12" fillId="2" borderId="30" xfId="20" applyNumberFormat="1" applyFont="1" applyFill="1" applyBorder="1" applyAlignment="1">
      <alignment vertical="center"/>
    </xf>
    <xf numFmtId="3" fontId="15" fillId="0" borderId="33" xfId="20" applyNumberFormat="1" applyFont="1" applyFill="1" applyBorder="1" applyAlignment="1">
      <alignment vertical="center"/>
    </xf>
    <xf numFmtId="3" fontId="15" fillId="4" borderId="33" xfId="20" applyNumberFormat="1" applyFont="1" applyFill="1" applyBorder="1" applyAlignment="1">
      <alignment vertical="center"/>
    </xf>
    <xf numFmtId="3" fontId="23" fillId="0" borderId="0" xfId="13" applyNumberFormat="1" applyFont="1" applyAlignment="1">
      <alignment horizontal="center"/>
    </xf>
    <xf numFmtId="49" fontId="40" fillId="12" borderId="34" xfId="20" applyNumberFormat="1" applyFont="1" applyFill="1" applyBorder="1" applyAlignment="1">
      <alignment horizontal="center" vertical="center"/>
    </xf>
    <xf numFmtId="3" fontId="10" fillId="0" borderId="31" xfId="13" applyNumberFormat="1" applyFont="1" applyFill="1" applyBorder="1" applyAlignment="1">
      <alignment horizontal="right" vertical="center"/>
    </xf>
    <xf numFmtId="0" fontId="22" fillId="0" borderId="0" xfId="13" applyFont="1" applyFill="1" applyAlignment="1">
      <alignment vertical="center"/>
    </xf>
    <xf numFmtId="3" fontId="12" fillId="2" borderId="8" xfId="13" applyNumberFormat="1" applyFont="1" applyFill="1" applyBorder="1" applyAlignment="1">
      <alignment vertical="center"/>
    </xf>
    <xf numFmtId="3" fontId="15" fillId="0" borderId="24" xfId="20" applyNumberFormat="1" applyFont="1" applyBorder="1" applyAlignment="1" applyProtection="1">
      <alignment horizontal="right" vertical="center"/>
      <protection locked="0"/>
    </xf>
    <xf numFmtId="3" fontId="15" fillId="0" borderId="31" xfId="20" applyNumberFormat="1" applyFont="1" applyBorder="1" applyAlignment="1" applyProtection="1">
      <alignment horizontal="right" vertical="center"/>
      <protection locked="0"/>
    </xf>
    <xf numFmtId="3" fontId="9" fillId="7" borderId="30" xfId="13" applyNumberFormat="1" applyFont="1" applyFill="1" applyBorder="1" applyAlignment="1">
      <alignment vertical="center"/>
    </xf>
    <xf numFmtId="3" fontId="9" fillId="2" borderId="33" xfId="13" applyNumberFormat="1" applyFont="1" applyFill="1" applyBorder="1" applyAlignment="1">
      <alignment vertical="center"/>
    </xf>
    <xf numFmtId="3" fontId="9" fillId="7" borderId="33" xfId="13" applyNumberFormat="1" applyFont="1" applyFill="1" applyBorder="1" applyAlignment="1">
      <alignment vertical="center"/>
    </xf>
    <xf numFmtId="3" fontId="10" fillId="0" borderId="38" xfId="13" applyNumberFormat="1" applyFont="1" applyBorder="1" applyAlignment="1">
      <alignment vertical="center"/>
    </xf>
    <xf numFmtId="3" fontId="10" fillId="0" borderId="0" xfId="13" applyNumberFormat="1" applyFont="1"/>
    <xf numFmtId="0" fontId="15" fillId="0" borderId="25" xfId="28" applyFont="1" applyBorder="1" applyAlignment="1">
      <alignment horizontal="center" vertical="center"/>
    </xf>
    <xf numFmtId="0" fontId="15" fillId="0" borderId="24" xfId="28" applyFont="1" applyBorder="1" applyAlignment="1">
      <alignment horizontal="center" vertical="center"/>
    </xf>
    <xf numFmtId="0" fontId="29" fillId="0" borderId="24" xfId="28" applyFont="1" applyBorder="1" applyAlignment="1">
      <alignment horizontal="left" vertical="center" wrapText="1"/>
    </xf>
    <xf numFmtId="0" fontId="15" fillId="0" borderId="34" xfId="28" applyFont="1" applyBorder="1" applyAlignment="1">
      <alignment horizontal="center" vertical="center"/>
    </xf>
    <xf numFmtId="0" fontId="15" fillId="0" borderId="31" xfId="28" applyFont="1" applyBorder="1" applyAlignment="1">
      <alignment horizontal="center" vertical="center"/>
    </xf>
    <xf numFmtId="0" fontId="29" fillId="0" borderId="31" xfId="28" applyFont="1" applyBorder="1" applyAlignment="1">
      <alignment horizontal="left" vertical="center" wrapText="1"/>
    </xf>
    <xf numFmtId="3" fontId="15" fillId="0" borderId="31" xfId="28" applyNumberFormat="1" applyFont="1" applyFill="1" applyBorder="1" applyAlignment="1">
      <alignment vertical="center"/>
    </xf>
    <xf numFmtId="0" fontId="15" fillId="0" borderId="31" xfId="28" applyFont="1" applyBorder="1" applyAlignment="1">
      <alignment vertical="center"/>
    </xf>
    <xf numFmtId="3" fontId="10" fillId="0" borderId="31" xfId="28" applyNumberFormat="1" applyFont="1" applyFill="1" applyBorder="1" applyAlignment="1">
      <alignment vertical="center"/>
    </xf>
    <xf numFmtId="3" fontId="13" fillId="0" borderId="0" xfId="13" applyNumberFormat="1" applyFont="1" applyAlignment="1">
      <alignment horizontal="center"/>
    </xf>
    <xf numFmtId="3" fontId="11" fillId="0" borderId="0" xfId="13" applyNumberFormat="1" applyFont="1" applyBorder="1" applyAlignment="1">
      <alignment horizontal="center"/>
    </xf>
    <xf numFmtId="0" fontId="10" fillId="0" borderId="0" xfId="13" applyFont="1" applyBorder="1" applyAlignment="1">
      <alignment horizontal="center"/>
    </xf>
    <xf numFmtId="49" fontId="10" fillId="0" borderId="0" xfId="13" applyNumberFormat="1" applyFont="1" applyBorder="1" applyAlignment="1">
      <alignment horizontal="center"/>
    </xf>
    <xf numFmtId="0" fontId="10" fillId="0" borderId="0" xfId="13" applyFont="1" applyBorder="1"/>
    <xf numFmtId="3" fontId="10" fillId="0" borderId="0" xfId="13" applyNumberFormat="1" applyFont="1" applyBorder="1"/>
    <xf numFmtId="0" fontId="5" fillId="0" borderId="0" xfId="13" applyFont="1" applyBorder="1"/>
    <xf numFmtId="3" fontId="12" fillId="0" borderId="9" xfId="13" applyNumberFormat="1" applyFont="1" applyFill="1" applyBorder="1"/>
    <xf numFmtId="3" fontId="5" fillId="0" borderId="0" xfId="13" applyNumberFormat="1" applyFont="1"/>
    <xf numFmtId="0" fontId="12" fillId="2" borderId="12" xfId="13" applyFont="1" applyFill="1" applyBorder="1"/>
    <xf numFmtId="0" fontId="12" fillId="0" borderId="0" xfId="13" applyFont="1"/>
    <xf numFmtId="3" fontId="15" fillId="0" borderId="33" xfId="20" applyNumberFormat="1" applyFont="1" applyBorder="1" applyAlignment="1">
      <alignment vertical="center"/>
    </xf>
    <xf numFmtId="3" fontId="30" fillId="0" borderId="0" xfId="13" applyNumberFormat="1" applyFont="1" applyAlignment="1">
      <alignment horizontal="center" vertical="center"/>
    </xf>
    <xf numFmtId="3" fontId="19" fillId="5" borderId="31" xfId="13" applyNumberFormat="1" applyFont="1" applyFill="1" applyBorder="1" applyAlignment="1">
      <alignment vertical="center"/>
    </xf>
    <xf numFmtId="0" fontId="31" fillId="0" borderId="0" xfId="13" applyFont="1" applyAlignment="1">
      <alignment vertical="center"/>
    </xf>
    <xf numFmtId="3" fontId="10" fillId="12" borderId="31" xfId="13" applyNumberFormat="1" applyFont="1" applyFill="1" applyBorder="1" applyAlignment="1">
      <alignment vertical="center"/>
    </xf>
    <xf numFmtId="0" fontId="10" fillId="0" borderId="20" xfId="13" applyFont="1" applyBorder="1" applyAlignment="1">
      <alignment vertical="center"/>
    </xf>
    <xf numFmtId="3" fontId="10" fillId="0" borderId="20" xfId="13" applyNumberFormat="1" applyFont="1" applyBorder="1" applyAlignment="1">
      <alignment vertical="center"/>
    </xf>
    <xf numFmtId="49" fontId="10" fillId="0" borderId="0" xfId="13" applyNumberFormat="1" applyFont="1" applyFill="1" applyAlignment="1">
      <alignment vertical="center"/>
    </xf>
    <xf numFmtId="0" fontId="9" fillId="0" borderId="13" xfId="13" applyFont="1" applyFill="1" applyBorder="1" applyAlignment="1">
      <alignment vertical="center"/>
    </xf>
    <xf numFmtId="0" fontId="9" fillId="0" borderId="0" xfId="13" applyFont="1" applyFill="1" applyBorder="1" applyAlignment="1">
      <alignment vertical="center"/>
    </xf>
    <xf numFmtId="3" fontId="10" fillId="2" borderId="31" xfId="13" applyNumberFormat="1" applyFont="1" applyFill="1" applyBorder="1" applyAlignment="1"/>
    <xf numFmtId="3" fontId="10" fillId="2" borderId="44" xfId="13" applyNumberFormat="1" applyFont="1" applyFill="1" applyBorder="1" applyAlignment="1">
      <alignment horizontal="right" vertical="center"/>
    </xf>
    <xf numFmtId="3" fontId="11" fillId="0" borderId="0" xfId="13" applyNumberFormat="1" applyFont="1" applyFill="1" applyBorder="1" applyAlignment="1">
      <alignment horizontal="center" vertical="center"/>
    </xf>
    <xf numFmtId="0" fontId="22" fillId="0" borderId="0" xfId="13" applyFont="1" applyFill="1" applyBorder="1" applyAlignment="1">
      <alignment vertical="center"/>
    </xf>
    <xf numFmtId="0" fontId="12" fillId="2" borderId="8" xfId="13" applyFont="1" applyFill="1" applyBorder="1" applyAlignment="1">
      <alignment vertical="center"/>
    </xf>
    <xf numFmtId="3" fontId="15" fillId="0" borderId="32" xfId="30" applyNumberFormat="1" applyFont="1" applyBorder="1" applyAlignment="1">
      <alignment vertical="center"/>
    </xf>
    <xf numFmtId="0" fontId="9" fillId="0" borderId="31" xfId="13" applyFont="1" applyBorder="1" applyAlignment="1">
      <alignment vertical="center" wrapText="1"/>
    </xf>
    <xf numFmtId="0" fontId="9" fillId="0" borderId="31" xfId="13" applyFont="1" applyBorder="1" applyAlignment="1">
      <alignment vertical="center"/>
    </xf>
    <xf numFmtId="3" fontId="15" fillId="0" borderId="41" xfId="30" applyNumberFormat="1" applyFont="1" applyBorder="1" applyAlignment="1">
      <alignment vertical="center"/>
    </xf>
    <xf numFmtId="0" fontId="10" fillId="0" borderId="39" xfId="13" applyFont="1" applyFill="1" applyBorder="1" applyAlignment="1">
      <alignment horizontal="center" vertical="center"/>
    </xf>
    <xf numFmtId="0" fontId="10" fillId="0" borderId="37" xfId="13" applyFont="1" applyFill="1" applyBorder="1" applyAlignment="1">
      <alignment horizontal="center" vertical="center"/>
    </xf>
    <xf numFmtId="1" fontId="11" fillId="0" borderId="0" xfId="20" applyNumberFormat="1" applyFont="1" applyFill="1" applyAlignment="1">
      <alignment horizontal="center" vertical="center"/>
    </xf>
    <xf numFmtId="0" fontId="10" fillId="0" borderId="0" xfId="20" applyFont="1" applyFill="1" applyAlignment="1">
      <alignment horizontal="center" vertical="center"/>
    </xf>
    <xf numFmtId="3" fontId="5" fillId="0" borderId="0" xfId="20" applyNumberFormat="1" applyFont="1" applyFill="1" applyAlignment="1">
      <alignment vertical="center"/>
    </xf>
    <xf numFmtId="0" fontId="5" fillId="0" borderId="0" xfId="20" applyFont="1" applyFill="1" applyAlignment="1">
      <alignment vertical="center"/>
    </xf>
    <xf numFmtId="1" fontId="11" fillId="0" borderId="60" xfId="20" applyNumberFormat="1" applyFont="1" applyFill="1" applyBorder="1" applyAlignment="1">
      <alignment horizontal="center" vertical="center"/>
    </xf>
    <xf numFmtId="1" fontId="11" fillId="0" borderId="61" xfId="20" applyNumberFormat="1" applyFont="1" applyFill="1" applyBorder="1" applyAlignment="1">
      <alignment horizontal="center" vertical="center"/>
    </xf>
    <xf numFmtId="1" fontId="11" fillId="0" borderId="0" xfId="20" applyNumberFormat="1" applyFont="1" applyFill="1" applyBorder="1" applyAlignment="1">
      <alignment horizontal="center" vertical="center"/>
    </xf>
    <xf numFmtId="3" fontId="10" fillId="0" borderId="40" xfId="13" applyNumberFormat="1" applyFont="1" applyFill="1" applyBorder="1" applyAlignment="1">
      <alignment horizontal="right" vertical="center"/>
    </xf>
    <xf numFmtId="0" fontId="10" fillId="0" borderId="50" xfId="30" applyFont="1" applyFill="1" applyBorder="1" applyAlignment="1">
      <alignment horizontal="center" vertical="center"/>
    </xf>
    <xf numFmtId="49" fontId="10" fillId="0" borderId="33" xfId="30" applyNumberFormat="1" applyFont="1" applyFill="1" applyBorder="1" applyAlignment="1">
      <alignment horizontal="center" vertical="center"/>
    </xf>
    <xf numFmtId="0" fontId="10" fillId="0" borderId="34" xfId="30" applyFont="1" applyFill="1" applyBorder="1" applyAlignment="1">
      <alignment horizontal="center" vertical="center"/>
    </xf>
    <xf numFmtId="3" fontId="10" fillId="0" borderId="32" xfId="13" applyNumberFormat="1" applyFont="1" applyFill="1" applyBorder="1" applyAlignment="1">
      <alignment horizontal="right" vertical="center"/>
    </xf>
    <xf numFmtId="0" fontId="15" fillId="0" borderId="47" xfId="12" applyFont="1" applyBorder="1" applyAlignment="1">
      <alignment horizontal="center" vertical="center"/>
    </xf>
    <xf numFmtId="0" fontId="15" fillId="0" borderId="30" xfId="12" applyFont="1" applyBorder="1" applyAlignment="1">
      <alignment horizontal="center" vertical="center"/>
    </xf>
    <xf numFmtId="49" fontId="15" fillId="0" borderId="30" xfId="12" applyNumberFormat="1" applyFont="1" applyBorder="1" applyAlignment="1">
      <alignment horizontal="center" vertical="center"/>
    </xf>
    <xf numFmtId="3" fontId="5" fillId="0" borderId="41" xfId="20" applyNumberFormat="1" applyFont="1" applyFill="1" applyBorder="1" applyAlignment="1">
      <alignment horizontal="right" vertical="center"/>
    </xf>
    <xf numFmtId="3" fontId="9" fillId="2" borderId="10" xfId="12" applyNumberFormat="1" applyFont="1" applyFill="1" applyBorder="1" applyAlignment="1">
      <alignment horizontal="right" vertical="center"/>
    </xf>
    <xf numFmtId="3" fontId="9" fillId="2" borderId="9" xfId="12" applyNumberFormat="1" applyFont="1" applyFill="1" applyBorder="1" applyAlignment="1">
      <alignment horizontal="right" vertical="center"/>
    </xf>
    <xf numFmtId="3" fontId="10" fillId="0" borderId="32" xfId="30" applyNumberFormat="1" applyFont="1" applyBorder="1" applyAlignment="1">
      <alignment vertical="center"/>
    </xf>
    <xf numFmtId="0" fontId="10" fillId="0" borderId="49" xfId="13" applyFont="1" applyBorder="1" applyAlignment="1">
      <alignment horizontal="center" vertical="center"/>
    </xf>
    <xf numFmtId="49" fontId="10" fillId="0" borderId="17" xfId="13" applyNumberFormat="1" applyFont="1" applyBorder="1" applyAlignment="1">
      <alignment horizontal="center" vertical="center"/>
    </xf>
    <xf numFmtId="0" fontId="10" fillId="0" borderId="17" xfId="13" applyFont="1" applyBorder="1" applyAlignment="1">
      <alignment horizontal="center" vertical="center"/>
    </xf>
    <xf numFmtId="3" fontId="10" fillId="0" borderId="46" xfId="30" applyNumberFormat="1" applyFont="1" applyBorder="1" applyAlignment="1">
      <alignment vertical="center"/>
    </xf>
    <xf numFmtId="0" fontId="10" fillId="0" borderId="39" xfId="30" applyFont="1" applyFill="1" applyBorder="1" applyAlignment="1">
      <alignment horizontal="center" vertical="center"/>
    </xf>
    <xf numFmtId="49" fontId="10" fillId="0" borderId="37" xfId="30" applyNumberFormat="1" applyFont="1" applyFill="1" applyBorder="1" applyAlignment="1">
      <alignment horizontal="center" vertical="center"/>
    </xf>
    <xf numFmtId="0" fontId="10" fillId="0" borderId="47" xfId="30" applyFont="1" applyFill="1" applyBorder="1" applyAlignment="1">
      <alignment horizontal="center" vertical="center"/>
    </xf>
    <xf numFmtId="49" fontId="10" fillId="0" borderId="30" xfId="30" applyNumberFormat="1" applyFont="1" applyFill="1" applyBorder="1" applyAlignment="1">
      <alignment horizontal="center" vertical="center"/>
    </xf>
    <xf numFmtId="3" fontId="10" fillId="0" borderId="46" xfId="30" applyNumberFormat="1" applyFont="1" applyBorder="1" applyAlignment="1">
      <alignment horizontal="right" vertical="center"/>
    </xf>
    <xf numFmtId="3" fontId="14" fillId="2" borderId="9" xfId="13" applyNumberFormat="1" applyFont="1" applyFill="1" applyBorder="1" applyAlignment="1">
      <alignment vertical="center"/>
    </xf>
    <xf numFmtId="3" fontId="10" fillId="16" borderId="32" xfId="13" applyNumberFormat="1" applyFont="1" applyFill="1" applyBorder="1" applyAlignment="1">
      <alignment horizontal="right" vertical="center"/>
    </xf>
    <xf numFmtId="3" fontId="15" fillId="0" borderId="46" xfId="13" applyNumberFormat="1" applyFont="1" applyFill="1" applyBorder="1" applyAlignment="1">
      <alignment horizontal="right" vertical="center"/>
    </xf>
    <xf numFmtId="1" fontId="11" fillId="0" borderId="0" xfId="20" applyNumberFormat="1" applyFont="1" applyAlignment="1">
      <alignment horizontal="center" vertical="center"/>
    </xf>
    <xf numFmtId="3" fontId="10" fillId="0" borderId="41" xfId="30" applyNumberFormat="1" applyFont="1" applyBorder="1" applyAlignment="1">
      <alignment horizontal="right" vertical="center"/>
    </xf>
    <xf numFmtId="0" fontId="5" fillId="0" borderId="0" xfId="20" applyFont="1" applyAlignment="1">
      <alignment vertical="center"/>
    </xf>
    <xf numFmtId="0" fontId="10" fillId="0" borderId="45" xfId="30" applyFont="1" applyFill="1" applyBorder="1" applyAlignment="1">
      <alignment horizontal="center" vertical="center"/>
    </xf>
    <xf numFmtId="49" fontId="10" fillId="0" borderId="15" xfId="30" applyNumberFormat="1" applyFont="1" applyFill="1" applyBorder="1" applyAlignment="1">
      <alignment horizontal="center" vertical="center"/>
    </xf>
    <xf numFmtId="3" fontId="10" fillId="0" borderId="29" xfId="13" applyNumberFormat="1" applyFont="1" applyFill="1" applyBorder="1" applyAlignment="1">
      <alignment horizontal="right" vertical="center"/>
    </xf>
    <xf numFmtId="3" fontId="9" fillId="7" borderId="36" xfId="13" applyNumberFormat="1" applyFont="1" applyFill="1" applyBorder="1" applyAlignment="1">
      <alignment horizontal="right" vertical="center"/>
    </xf>
    <xf numFmtId="3" fontId="15" fillId="15" borderId="32" xfId="30" applyNumberFormat="1" applyFont="1" applyFill="1" applyBorder="1" applyAlignment="1">
      <alignment horizontal="right" vertical="center"/>
    </xf>
    <xf numFmtId="3" fontId="14" fillId="7" borderId="32" xfId="30" applyNumberFormat="1" applyFont="1" applyFill="1" applyBorder="1" applyAlignment="1">
      <alignment horizontal="right" vertical="center"/>
    </xf>
    <xf numFmtId="0" fontId="10" fillId="10" borderId="34" xfId="13" applyFont="1" applyFill="1" applyBorder="1" applyAlignment="1">
      <alignment horizontal="center" vertical="center"/>
    </xf>
    <xf numFmtId="49" fontId="10" fillId="10" borderId="31" xfId="13" applyNumberFormat="1" applyFont="1" applyFill="1" applyBorder="1" applyAlignment="1">
      <alignment horizontal="center" vertical="center"/>
    </xf>
    <xf numFmtId="3" fontId="15" fillId="10" borderId="32" xfId="30" applyNumberFormat="1" applyFont="1" applyFill="1" applyBorder="1" applyAlignment="1">
      <alignment horizontal="right" vertical="center"/>
    </xf>
    <xf numFmtId="0" fontId="9" fillId="10" borderId="34" xfId="13" applyFont="1" applyFill="1" applyBorder="1" applyAlignment="1">
      <alignment horizontal="center" vertical="center"/>
    </xf>
    <xf numFmtId="49" fontId="9" fillId="10" borderId="31" xfId="13" applyNumberFormat="1" applyFont="1" applyFill="1" applyBorder="1" applyAlignment="1">
      <alignment horizontal="center" vertical="center"/>
    </xf>
    <xf numFmtId="3" fontId="14" fillId="10" borderId="32" xfId="30" applyNumberFormat="1" applyFont="1" applyFill="1" applyBorder="1" applyAlignment="1">
      <alignment horizontal="right" vertical="center"/>
    </xf>
    <xf numFmtId="3" fontId="14" fillId="7" borderId="32" xfId="30" applyNumberFormat="1" applyFont="1" applyFill="1" applyBorder="1" applyAlignment="1">
      <alignment vertical="center"/>
    </xf>
    <xf numFmtId="0" fontId="9" fillId="7" borderId="34" xfId="30" applyFont="1" applyFill="1" applyBorder="1" applyAlignment="1">
      <alignment horizontal="center" vertical="center"/>
    </xf>
    <xf numFmtId="49" fontId="9" fillId="7" borderId="31" xfId="30" applyNumberFormat="1" applyFont="1" applyFill="1" applyBorder="1" applyAlignment="1">
      <alignment horizontal="center" vertical="center"/>
    </xf>
    <xf numFmtId="3" fontId="14" fillId="7" borderId="32" xfId="13" applyNumberFormat="1" applyFont="1" applyFill="1" applyBorder="1" applyAlignment="1">
      <alignment horizontal="right" vertical="center"/>
    </xf>
    <xf numFmtId="0" fontId="10" fillId="12" borderId="34" xfId="30" applyFont="1" applyFill="1" applyBorder="1" applyAlignment="1">
      <alignment horizontal="center" vertical="center"/>
    </xf>
    <xf numFmtId="49" fontId="10" fillId="12" borderId="31" xfId="30" applyNumberFormat="1" applyFont="1" applyFill="1" applyBorder="1" applyAlignment="1">
      <alignment horizontal="center" vertical="center"/>
    </xf>
    <xf numFmtId="3" fontId="15" fillId="12" borderId="31" xfId="13" applyNumberFormat="1" applyFont="1" applyFill="1" applyBorder="1" applyAlignment="1">
      <alignment horizontal="right" vertical="center"/>
    </xf>
    <xf numFmtId="3" fontId="14" fillId="7" borderId="29" xfId="13" applyNumberFormat="1" applyFont="1" applyFill="1" applyBorder="1" applyAlignment="1">
      <alignment horizontal="right" vertical="center"/>
    </xf>
    <xf numFmtId="3" fontId="9" fillId="0" borderId="29" xfId="13" applyNumberFormat="1" applyFont="1" applyFill="1" applyBorder="1" applyAlignment="1">
      <alignment vertical="center"/>
    </xf>
    <xf numFmtId="0" fontId="9" fillId="7" borderId="25" xfId="30" applyFont="1" applyFill="1" applyBorder="1" applyAlignment="1">
      <alignment horizontal="center" vertical="center"/>
    </xf>
    <xf numFmtId="49" fontId="9" fillId="7" borderId="24" xfId="30" applyNumberFormat="1" applyFont="1" applyFill="1" applyBorder="1" applyAlignment="1">
      <alignment horizontal="center" vertical="center"/>
    </xf>
    <xf numFmtId="3" fontId="9" fillId="7" borderId="40" xfId="13" applyNumberFormat="1" applyFont="1" applyFill="1" applyBorder="1" applyAlignment="1">
      <alignment horizontal="right" vertical="center"/>
    </xf>
    <xf numFmtId="3" fontId="9" fillId="7" borderId="32" xfId="13" applyNumberFormat="1" applyFont="1" applyFill="1" applyBorder="1" applyAlignment="1">
      <alignment horizontal="right" vertical="center"/>
    </xf>
    <xf numFmtId="0" fontId="9" fillId="7" borderId="39" xfId="30" applyFont="1" applyFill="1" applyBorder="1" applyAlignment="1">
      <alignment horizontal="center" vertical="center"/>
    </xf>
    <xf numFmtId="49" fontId="9" fillId="7" borderId="37" xfId="30" applyNumberFormat="1" applyFont="1" applyFill="1" applyBorder="1" applyAlignment="1">
      <alignment horizontal="center" vertical="center"/>
    </xf>
    <xf numFmtId="3" fontId="14" fillId="7" borderId="38" xfId="13" applyNumberFormat="1" applyFont="1" applyFill="1" applyBorder="1" applyAlignment="1">
      <alignment horizontal="right" vertical="center"/>
    </xf>
    <xf numFmtId="0" fontId="9" fillId="7" borderId="47" xfId="30" applyFont="1" applyFill="1" applyBorder="1" applyAlignment="1">
      <alignment horizontal="center" vertical="center"/>
    </xf>
    <xf numFmtId="49" fontId="9" fillId="7" borderId="30" xfId="30" applyNumberFormat="1" applyFont="1" applyFill="1" applyBorder="1" applyAlignment="1">
      <alignment horizontal="center" vertical="center"/>
    </xf>
    <xf numFmtId="3" fontId="9" fillId="7" borderId="41" xfId="13" applyNumberFormat="1" applyFont="1" applyFill="1" applyBorder="1" applyAlignment="1">
      <alignment horizontal="right" vertical="center"/>
    </xf>
    <xf numFmtId="1" fontId="11" fillId="0" borderId="0" xfId="20" applyNumberFormat="1" applyFont="1" applyBorder="1" applyAlignment="1">
      <alignment horizontal="center" vertical="center"/>
    </xf>
    <xf numFmtId="49" fontId="15" fillId="0" borderId="0" xfId="8" applyNumberFormat="1" applyFont="1" applyBorder="1" applyAlignment="1">
      <alignment horizontal="center"/>
    </xf>
    <xf numFmtId="0" fontId="15" fillId="4" borderId="0" xfId="8" applyFont="1" applyFill="1" applyBorder="1" applyAlignment="1">
      <alignment horizontal="right"/>
    </xf>
    <xf numFmtId="49" fontId="15" fillId="0" borderId="0" xfId="8" applyNumberFormat="1" applyFont="1" applyBorder="1" applyAlignment="1">
      <alignment horizontal="right"/>
    </xf>
    <xf numFmtId="3" fontId="5" fillId="0" borderId="0" xfId="20" applyNumberFormat="1" applyFont="1" applyBorder="1" applyAlignment="1">
      <alignment vertical="center"/>
    </xf>
    <xf numFmtId="0" fontId="5" fillId="0" borderId="0" xfId="20" applyFont="1" applyBorder="1" applyAlignment="1">
      <alignment vertical="center"/>
    </xf>
    <xf numFmtId="49" fontId="14" fillId="0" borderId="0" xfId="20" applyNumberFormat="1" applyFont="1" applyFill="1" applyBorder="1" applyAlignment="1">
      <alignment horizontal="center" vertical="center"/>
    </xf>
    <xf numFmtId="164" fontId="5" fillId="0" borderId="0" xfId="20" applyNumberFormat="1" applyFont="1" applyAlignment="1">
      <alignment vertical="center"/>
    </xf>
    <xf numFmtId="0" fontId="10" fillId="0" borderId="0" xfId="20" applyFont="1" applyAlignment="1">
      <alignment horizontal="center" vertical="center"/>
    </xf>
    <xf numFmtId="0" fontId="15" fillId="0" borderId="0" xfId="13" applyFont="1" applyAlignment="1">
      <alignment horizontal="center" vertical="center"/>
    </xf>
    <xf numFmtId="49" fontId="14" fillId="3" borderId="70" xfId="13" applyNumberFormat="1" applyFont="1" applyFill="1" applyBorder="1" applyAlignment="1">
      <alignment horizontal="center" vertical="center"/>
    </xf>
    <xf numFmtId="49" fontId="10" fillId="3" borderId="71" xfId="13" applyNumberFormat="1" applyFont="1" applyFill="1" applyBorder="1" applyAlignment="1">
      <alignment vertical="center"/>
    </xf>
    <xf numFmtId="49" fontId="10" fillId="3" borderId="72" xfId="13" applyNumberFormat="1" applyFont="1" applyFill="1" applyBorder="1" applyAlignment="1">
      <alignment vertical="center"/>
    </xf>
    <xf numFmtId="0" fontId="10" fillId="3" borderId="71" xfId="13" applyFont="1" applyFill="1" applyBorder="1" applyAlignment="1">
      <alignment vertical="center"/>
    </xf>
    <xf numFmtId="49" fontId="15" fillId="3" borderId="73" xfId="13" applyNumberFormat="1" applyFont="1" applyFill="1" applyBorder="1" applyAlignment="1">
      <alignment horizontal="center" vertical="center"/>
    </xf>
    <xf numFmtId="49" fontId="14" fillId="3" borderId="74" xfId="13" applyNumberFormat="1" applyFont="1" applyFill="1" applyBorder="1" applyAlignment="1">
      <alignment horizontal="center" vertical="center"/>
    </xf>
    <xf numFmtId="0" fontId="10" fillId="4" borderId="75" xfId="13" applyFont="1" applyFill="1" applyBorder="1" applyAlignment="1">
      <alignment horizontal="center" vertical="center"/>
    </xf>
    <xf numFmtId="49" fontId="10" fillId="4" borderId="31" xfId="13" applyNumberFormat="1" applyFont="1" applyFill="1" applyBorder="1" applyAlignment="1">
      <alignment vertical="center"/>
    </xf>
    <xf numFmtId="3" fontId="10" fillId="4" borderId="32" xfId="30" applyNumberFormat="1" applyFont="1" applyFill="1" applyBorder="1" applyAlignment="1">
      <alignment vertical="center"/>
    </xf>
    <xf numFmtId="49" fontId="15" fillId="0" borderId="76" xfId="28" applyNumberFormat="1" applyFont="1" applyBorder="1" applyAlignment="1">
      <alignment horizontal="center" vertical="center"/>
    </xf>
    <xf numFmtId="49" fontId="15" fillId="0" borderId="77" xfId="28" applyNumberFormat="1" applyFont="1" applyBorder="1" applyAlignment="1">
      <alignment horizontal="center" vertical="center"/>
    </xf>
    <xf numFmtId="1" fontId="15" fillId="0" borderId="77" xfId="28" applyNumberFormat="1" applyFont="1" applyBorder="1" applyAlignment="1">
      <alignment horizontal="center" vertical="center"/>
    </xf>
    <xf numFmtId="3" fontId="15" fillId="0" borderId="77" xfId="28" applyNumberFormat="1" applyFont="1" applyFill="1" applyBorder="1" applyAlignment="1">
      <alignment horizontal="left" vertical="center"/>
    </xf>
    <xf numFmtId="3" fontId="10" fillId="0" borderId="78" xfId="13" applyNumberFormat="1" applyFont="1" applyFill="1" applyBorder="1" applyAlignment="1">
      <alignment horizontal="right" vertical="center"/>
    </xf>
    <xf numFmtId="49" fontId="15" fillId="0" borderId="79" xfId="28" applyNumberFormat="1" applyFont="1" applyBorder="1" applyAlignment="1">
      <alignment horizontal="center" vertical="center"/>
    </xf>
    <xf numFmtId="49" fontId="15" fillId="0" borderId="75" xfId="28" applyNumberFormat="1" applyFont="1" applyBorder="1" applyAlignment="1">
      <alignment horizontal="center" vertical="center"/>
    </xf>
    <xf numFmtId="49" fontId="15" fillId="0" borderId="31" xfId="28" applyNumberFormat="1" applyFont="1" applyBorder="1" applyAlignment="1">
      <alignment horizontal="center" vertical="center"/>
    </xf>
    <xf numFmtId="1" fontId="15" fillId="0" borderId="31" xfId="28" applyNumberFormat="1" applyFont="1" applyBorder="1" applyAlignment="1">
      <alignment horizontal="center" vertical="center"/>
    </xf>
    <xf numFmtId="3" fontId="15" fillId="0" borderId="31" xfId="28" applyNumberFormat="1" applyFont="1" applyBorder="1" applyAlignment="1">
      <alignment vertical="center"/>
    </xf>
    <xf numFmtId="49" fontId="15" fillId="0" borderId="75" xfId="28" applyNumberFormat="1" applyFont="1" applyFill="1" applyBorder="1" applyAlignment="1">
      <alignment horizontal="center" vertical="center"/>
    </xf>
    <xf numFmtId="49" fontId="15" fillId="0" borderId="31" xfId="28" applyNumberFormat="1" applyFont="1" applyFill="1" applyBorder="1" applyAlignment="1">
      <alignment horizontal="center" vertical="center"/>
    </xf>
    <xf numFmtId="49" fontId="15" fillId="0" borderId="79" xfId="28" applyNumberFormat="1" applyFont="1" applyFill="1" applyBorder="1" applyAlignment="1">
      <alignment horizontal="center" vertical="center"/>
    </xf>
    <xf numFmtId="49" fontId="15" fillId="0" borderId="33" xfId="28" applyNumberFormat="1" applyFont="1" applyFill="1" applyBorder="1" applyAlignment="1">
      <alignment horizontal="center" vertical="center"/>
    </xf>
    <xf numFmtId="1" fontId="15" fillId="0" borderId="33" xfId="28" quotePrefix="1" applyNumberFormat="1" applyFont="1" applyBorder="1" applyAlignment="1">
      <alignment horizontal="center" vertical="center"/>
    </xf>
    <xf numFmtId="3" fontId="15" fillId="0" borderId="33" xfId="28" applyNumberFormat="1" applyFont="1" applyBorder="1" applyAlignment="1">
      <alignment vertical="center"/>
    </xf>
    <xf numFmtId="1" fontId="15" fillId="0" borderId="31" xfId="28" quotePrefix="1" applyNumberFormat="1" applyFont="1" applyBorder="1" applyAlignment="1">
      <alignment horizontal="center" vertical="center"/>
    </xf>
    <xf numFmtId="49" fontId="15" fillId="0" borderId="80" xfId="28" applyNumberFormat="1" applyFont="1" applyFill="1" applyBorder="1" applyAlignment="1">
      <alignment horizontal="center" vertical="center"/>
    </xf>
    <xf numFmtId="49" fontId="15" fillId="0" borderId="37" xfId="28" applyNumberFormat="1" applyFont="1" applyFill="1" applyBorder="1" applyAlignment="1">
      <alignment horizontal="center" vertical="center"/>
    </xf>
    <xf numFmtId="1" fontId="15" fillId="0" borderId="37" xfId="28" applyNumberFormat="1" applyFont="1" applyBorder="1" applyAlignment="1">
      <alignment horizontal="center" vertical="center"/>
    </xf>
    <xf numFmtId="3" fontId="15" fillId="0" borderId="37" xfId="28" applyNumberFormat="1" applyFont="1" applyBorder="1" applyAlignment="1">
      <alignment vertical="center"/>
    </xf>
    <xf numFmtId="49" fontId="10" fillId="0" borderId="81" xfId="13" applyNumberFormat="1" applyFont="1" applyFill="1" applyBorder="1" applyAlignment="1">
      <alignment horizontal="center" vertical="center"/>
    </xf>
    <xf numFmtId="49" fontId="10" fillId="0" borderId="82" xfId="13" applyNumberFormat="1" applyFont="1" applyFill="1" applyBorder="1" applyAlignment="1">
      <alignment horizontal="center" vertical="center"/>
    </xf>
    <xf numFmtId="0" fontId="10" fillId="0" borderId="82" xfId="13" applyFont="1" applyFill="1" applyBorder="1" applyAlignment="1">
      <alignment vertical="center"/>
    </xf>
    <xf numFmtId="3" fontId="15" fillId="0" borderId="83" xfId="13" applyNumberFormat="1" applyFont="1" applyFill="1" applyBorder="1" applyAlignment="1">
      <alignment horizontal="right" vertical="center"/>
    </xf>
    <xf numFmtId="3" fontId="15" fillId="0" borderId="82" xfId="13" applyNumberFormat="1" applyFont="1" applyFill="1" applyBorder="1" applyAlignment="1">
      <alignment horizontal="right" vertical="center"/>
    </xf>
    <xf numFmtId="0" fontId="10" fillId="0" borderId="79" xfId="13" applyFont="1" applyFill="1" applyBorder="1" applyAlignment="1">
      <alignment horizontal="center" vertical="center"/>
    </xf>
    <xf numFmtId="0" fontId="10" fillId="0" borderId="33" xfId="13" applyFont="1" applyFill="1" applyBorder="1" applyAlignment="1">
      <alignment horizontal="center" vertical="center"/>
    </xf>
    <xf numFmtId="3" fontId="15" fillId="0" borderId="36" xfId="13" applyNumberFormat="1" applyFont="1" applyFill="1" applyBorder="1" applyAlignment="1">
      <alignment horizontal="right" vertical="center"/>
    </xf>
    <xf numFmtId="0" fontId="10" fillId="0" borderId="75" xfId="13" applyFont="1" applyFill="1" applyBorder="1" applyAlignment="1">
      <alignment horizontal="center" vertical="center" wrapText="1"/>
    </xf>
    <xf numFmtId="0" fontId="10" fillId="0" borderId="31" xfId="13" applyFont="1" applyFill="1" applyBorder="1" applyAlignment="1">
      <alignment horizontal="center" vertical="center" wrapText="1"/>
    </xf>
    <xf numFmtId="0" fontId="10" fillId="0" borderId="75" xfId="13" applyFont="1" applyFill="1" applyBorder="1" applyAlignment="1">
      <alignment horizontal="center" vertical="center"/>
    </xf>
    <xf numFmtId="49" fontId="15" fillId="0" borderId="31" xfId="13" applyNumberFormat="1" applyFont="1" applyFill="1" applyBorder="1" applyAlignment="1">
      <alignment vertical="center" wrapText="1"/>
    </xf>
    <xf numFmtId="3" fontId="14" fillId="2" borderId="30" xfId="13" applyNumberFormat="1" applyFont="1" applyFill="1" applyBorder="1" applyAlignment="1">
      <alignment vertical="center"/>
    </xf>
    <xf numFmtId="3" fontId="15" fillId="0" borderId="0" xfId="13" applyNumberFormat="1" applyFont="1" applyBorder="1" applyAlignment="1">
      <alignment vertical="center"/>
    </xf>
    <xf numFmtId="49" fontId="5" fillId="0" borderId="0" xfId="13" applyNumberFormat="1" applyFont="1" applyFill="1" applyAlignment="1">
      <alignment vertical="center"/>
    </xf>
    <xf numFmtId="3" fontId="33" fillId="0" borderId="10" xfId="13" applyNumberFormat="1" applyFont="1" applyFill="1" applyBorder="1" applyAlignment="1">
      <alignment vertical="center"/>
    </xf>
    <xf numFmtId="49" fontId="12" fillId="2" borderId="12" xfId="13" applyNumberFormat="1" applyFont="1" applyFill="1" applyBorder="1" applyAlignment="1">
      <alignment vertical="center"/>
    </xf>
    <xf numFmtId="3" fontId="15" fillId="0" borderId="24" xfId="28" applyNumberFormat="1" applyFont="1" applyFill="1" applyBorder="1" applyAlignment="1">
      <alignment vertical="center"/>
    </xf>
    <xf numFmtId="3" fontId="10" fillId="0" borderId="77" xfId="13" applyNumberFormat="1" applyFont="1" applyFill="1" applyBorder="1" applyAlignment="1">
      <alignment horizontal="right" vertical="center"/>
    </xf>
    <xf numFmtId="0" fontId="37" fillId="0" borderId="0" xfId="13" applyFill="1" applyBorder="1" applyAlignment="1">
      <alignment vertical="center"/>
    </xf>
    <xf numFmtId="0" fontId="10" fillId="2" borderId="85" xfId="13" applyFont="1" applyFill="1" applyBorder="1" applyAlignment="1">
      <alignment horizontal="center" vertical="center"/>
    </xf>
    <xf numFmtId="0" fontId="10" fillId="2" borderId="86" xfId="13" applyFont="1" applyFill="1" applyBorder="1" applyAlignment="1">
      <alignment horizontal="center" vertical="center"/>
    </xf>
    <xf numFmtId="49" fontId="10" fillId="2" borderId="86" xfId="13" applyNumberFormat="1" applyFont="1" applyFill="1" applyBorder="1" applyAlignment="1">
      <alignment horizontal="center" vertical="center"/>
    </xf>
    <xf numFmtId="49" fontId="9" fillId="2" borderId="86" xfId="13" applyNumberFormat="1" applyFont="1" applyFill="1" applyBorder="1" applyAlignment="1">
      <alignment vertical="center"/>
    </xf>
    <xf numFmtId="3" fontId="14" fillId="2" borderId="87" xfId="30" applyNumberFormat="1" applyFont="1" applyFill="1" applyBorder="1" applyAlignment="1">
      <alignment vertical="center"/>
    </xf>
    <xf numFmtId="0" fontId="10" fillId="2" borderId="88" xfId="13" applyFont="1" applyFill="1" applyBorder="1" applyAlignment="1">
      <alignment horizontal="center" vertical="center"/>
    </xf>
    <xf numFmtId="0" fontId="10" fillId="2" borderId="84" xfId="13" applyFont="1" applyFill="1" applyBorder="1" applyAlignment="1">
      <alignment horizontal="center" vertical="center"/>
    </xf>
    <xf numFmtId="49" fontId="10" fillId="2" borderId="84" xfId="13" applyNumberFormat="1" applyFont="1" applyFill="1" applyBorder="1" applyAlignment="1">
      <alignment horizontal="center" vertical="center"/>
    </xf>
    <xf numFmtId="49" fontId="9" fillId="2" borderId="84" xfId="13" applyNumberFormat="1" applyFont="1" applyFill="1" applyBorder="1" applyAlignment="1">
      <alignment vertical="center"/>
    </xf>
    <xf numFmtId="3" fontId="14" fillId="2" borderId="89" xfId="30" applyNumberFormat="1" applyFont="1" applyFill="1" applyBorder="1" applyAlignment="1">
      <alignment vertical="center"/>
    </xf>
    <xf numFmtId="3" fontId="9" fillId="7" borderId="90" xfId="30" applyNumberFormat="1" applyFont="1" applyFill="1" applyBorder="1" applyAlignment="1">
      <alignment vertical="center"/>
    </xf>
    <xf numFmtId="3" fontId="9" fillId="7" borderId="30" xfId="13" applyNumberFormat="1" applyFont="1" applyFill="1" applyBorder="1" applyAlignment="1">
      <alignment horizontal="right" vertical="center"/>
    </xf>
    <xf numFmtId="49" fontId="10" fillId="0" borderId="0" xfId="20" applyNumberFormat="1" applyFont="1" applyFill="1" applyAlignment="1">
      <alignment horizontal="left" vertical="center"/>
    </xf>
    <xf numFmtId="0" fontId="10" fillId="3" borderId="19" xfId="13" applyFont="1" applyFill="1" applyBorder="1" applyAlignment="1">
      <alignment horizontal="left" vertical="center"/>
    </xf>
    <xf numFmtId="0" fontId="10" fillId="3" borderId="17" xfId="13" applyFont="1" applyFill="1" applyBorder="1" applyAlignment="1">
      <alignment horizontal="left" vertical="center"/>
    </xf>
    <xf numFmtId="0" fontId="10" fillId="3" borderId="15" xfId="13" applyFont="1" applyFill="1" applyBorder="1" applyAlignment="1">
      <alignment horizontal="left" vertical="center"/>
    </xf>
    <xf numFmtId="0" fontId="10" fillId="0" borderId="33" xfId="30" applyFont="1" applyFill="1" applyBorder="1" applyAlignment="1">
      <alignment horizontal="left" vertical="center"/>
    </xf>
    <xf numFmtId="0" fontId="10" fillId="0" borderId="31" xfId="13" applyFont="1" applyBorder="1" applyAlignment="1">
      <alignment horizontal="left" vertical="center"/>
    </xf>
    <xf numFmtId="0" fontId="10" fillId="0" borderId="31" xfId="30" applyFont="1" applyFill="1" applyBorder="1" applyAlignment="1">
      <alignment horizontal="left" vertical="center"/>
    </xf>
    <xf numFmtId="49" fontId="15" fillId="0" borderId="30" xfId="12" applyNumberFormat="1" applyFont="1" applyBorder="1" applyAlignment="1">
      <alignment horizontal="left" vertical="center"/>
    </xf>
    <xf numFmtId="0" fontId="10" fillId="0" borderId="24" xfId="30" applyFont="1" applyFill="1" applyBorder="1" applyAlignment="1">
      <alignment horizontal="left" vertical="center"/>
    </xf>
    <xf numFmtId="0" fontId="10" fillId="0" borderId="37" xfId="30" applyFont="1" applyFill="1" applyBorder="1" applyAlignment="1">
      <alignment horizontal="left" vertical="center"/>
    </xf>
    <xf numFmtId="0" fontId="10" fillId="0" borderId="30" xfId="30" applyFont="1" applyFill="1" applyBorder="1" applyAlignment="1">
      <alignment horizontal="left" vertical="center"/>
    </xf>
    <xf numFmtId="0" fontId="9" fillId="2" borderId="10" xfId="13" applyFont="1" applyFill="1" applyBorder="1" applyAlignment="1">
      <alignment horizontal="left" vertical="center"/>
    </xf>
    <xf numFmtId="0" fontId="10" fillId="0" borderId="33" xfId="13" applyFont="1" applyBorder="1" applyAlignment="1">
      <alignment horizontal="left" vertical="center"/>
    </xf>
    <xf numFmtId="0" fontId="10" fillId="16" borderId="31" xfId="13" applyFont="1" applyFill="1" applyBorder="1" applyAlignment="1">
      <alignment horizontal="left" vertical="center"/>
    </xf>
    <xf numFmtId="0" fontId="15" fillId="0" borderId="31" xfId="30" applyFont="1" applyFill="1" applyBorder="1" applyAlignment="1">
      <alignment horizontal="left" vertical="center"/>
    </xf>
    <xf numFmtId="0" fontId="15" fillId="0" borderId="37" xfId="30" applyFont="1" applyFill="1" applyBorder="1" applyAlignment="1">
      <alignment horizontal="left" vertical="center"/>
    </xf>
    <xf numFmtId="0" fontId="10" fillId="0" borderId="15" xfId="30" applyFont="1" applyFill="1" applyBorder="1" applyAlignment="1">
      <alignment horizontal="left" vertical="center"/>
    </xf>
    <xf numFmtId="0" fontId="10" fillId="15" borderId="31" xfId="13" applyFont="1" applyFill="1" applyBorder="1" applyAlignment="1">
      <alignment horizontal="left" vertical="center"/>
    </xf>
    <xf numFmtId="0" fontId="10" fillId="10" borderId="31" xfId="13" applyFont="1" applyFill="1" applyBorder="1" applyAlignment="1">
      <alignment horizontal="left" vertical="center"/>
    </xf>
    <xf numFmtId="0" fontId="9" fillId="10" borderId="31" xfId="13" applyFont="1" applyFill="1" applyBorder="1" applyAlignment="1">
      <alignment horizontal="left" vertical="center"/>
    </xf>
    <xf numFmtId="0" fontId="9" fillId="7" borderId="31" xfId="30" applyFont="1" applyFill="1" applyBorder="1" applyAlignment="1">
      <alignment horizontal="left" vertical="center"/>
    </xf>
    <xf numFmtId="0" fontId="10" fillId="12" borderId="31" xfId="30" applyFont="1" applyFill="1" applyBorder="1" applyAlignment="1">
      <alignment horizontal="left" vertical="center"/>
    </xf>
    <xf numFmtId="0" fontId="9" fillId="7" borderId="24" xfId="30" applyFont="1" applyFill="1" applyBorder="1" applyAlignment="1">
      <alignment horizontal="left" vertical="center"/>
    </xf>
    <xf numFmtId="0" fontId="9" fillId="7" borderId="31" xfId="13" applyFont="1" applyFill="1" applyBorder="1" applyAlignment="1">
      <alignment horizontal="left" vertical="center"/>
    </xf>
    <xf numFmtId="0" fontId="9" fillId="7" borderId="37" xfId="30" applyFont="1" applyFill="1" applyBorder="1" applyAlignment="1">
      <alignment horizontal="left" vertical="center"/>
    </xf>
    <xf numFmtId="0" fontId="9" fillId="7" borderId="30" xfId="30" applyFont="1" applyFill="1" applyBorder="1" applyAlignment="1">
      <alignment horizontal="left" vertical="center"/>
    </xf>
    <xf numFmtId="0" fontId="15" fillId="4" borderId="0" xfId="8" applyFont="1" applyFill="1" applyBorder="1" applyAlignment="1">
      <alignment horizontal="left"/>
    </xf>
    <xf numFmtId="0" fontId="12" fillId="0" borderId="13" xfId="13" applyFont="1" applyFill="1" applyBorder="1" applyAlignment="1">
      <alignment horizontal="left" vertical="center"/>
    </xf>
    <xf numFmtId="0" fontId="12" fillId="0" borderId="0" xfId="13" applyFont="1" applyFill="1" applyBorder="1" applyAlignment="1">
      <alignment horizontal="left" vertical="center"/>
    </xf>
    <xf numFmtId="49" fontId="14" fillId="0" borderId="0" xfId="20" applyNumberFormat="1" applyFont="1" applyFill="1" applyBorder="1" applyAlignment="1">
      <alignment horizontal="left" vertical="center"/>
    </xf>
    <xf numFmtId="49" fontId="10" fillId="0" borderId="0" xfId="20" applyNumberFormat="1" applyFont="1" applyAlignment="1">
      <alignment horizontal="left" vertical="center"/>
    </xf>
    <xf numFmtId="0" fontId="12" fillId="2" borderId="11" xfId="13" applyFont="1" applyFill="1" applyBorder="1" applyAlignment="1">
      <alignment horizontal="left" vertical="center"/>
    </xf>
    <xf numFmtId="0" fontId="15" fillId="0" borderId="31" xfId="13" applyFont="1" applyBorder="1" applyAlignment="1">
      <alignment horizontal="left" vertical="center" wrapText="1"/>
    </xf>
    <xf numFmtId="3" fontId="9" fillId="4" borderId="14" xfId="13" applyNumberFormat="1" applyFont="1" applyFill="1" applyBorder="1" applyAlignment="1">
      <alignment vertical="center"/>
    </xf>
    <xf numFmtId="49" fontId="10" fillId="0" borderId="50" xfId="13" applyNumberFormat="1" applyFont="1" applyFill="1" applyBorder="1" applyAlignment="1">
      <alignment horizontal="center"/>
    </xf>
    <xf numFmtId="49" fontId="10" fillId="0" borderId="33" xfId="13" applyNumberFormat="1" applyFont="1" applyFill="1" applyBorder="1" applyAlignment="1">
      <alignment horizontal="center"/>
    </xf>
    <xf numFmtId="49" fontId="44" fillId="0" borderId="33" xfId="13" applyNumberFormat="1" applyFont="1" applyFill="1" applyBorder="1"/>
    <xf numFmtId="49" fontId="44" fillId="0" borderId="31" xfId="13" applyNumberFormat="1" applyFont="1" applyFill="1" applyBorder="1"/>
    <xf numFmtId="3" fontId="10" fillId="0" borderId="31" xfId="30" applyNumberFormat="1" applyFont="1" applyFill="1" applyBorder="1" applyAlignment="1">
      <alignment horizontal="right" vertical="center"/>
    </xf>
    <xf numFmtId="3" fontId="9" fillId="12" borderId="32" xfId="30" applyNumberFormat="1" applyFont="1" applyFill="1" applyBorder="1" applyAlignment="1">
      <alignment horizontal="right" vertical="center"/>
    </xf>
    <xf numFmtId="3" fontId="10" fillId="12" borderId="36" xfId="30" applyNumberFormat="1" applyFont="1" applyFill="1" applyBorder="1" applyAlignment="1">
      <alignment horizontal="right" vertical="center"/>
    </xf>
    <xf numFmtId="3" fontId="9" fillId="7" borderId="29" xfId="30" applyNumberFormat="1" applyFont="1" applyFill="1" applyBorder="1" applyAlignment="1">
      <alignment horizontal="right" vertical="center"/>
    </xf>
    <xf numFmtId="3" fontId="9" fillId="7" borderId="24" xfId="30" applyNumberFormat="1" applyFont="1" applyFill="1" applyBorder="1" applyAlignment="1">
      <alignment horizontal="right" vertical="center"/>
    </xf>
    <xf numFmtId="3" fontId="9" fillId="2" borderId="38" xfId="13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3" fontId="10" fillId="0" borderId="0" xfId="0" applyNumberFormat="1" applyFont="1" applyBorder="1" applyAlignment="1">
      <alignment horizontal="center" vertical="center"/>
    </xf>
    <xf numFmtId="49" fontId="32" fillId="0" borderId="34" xfId="0" applyNumberFormat="1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left" vertical="center"/>
    </xf>
    <xf numFmtId="3" fontId="1" fillId="0" borderId="31" xfId="0" applyNumberFormat="1" applyFont="1" applyFill="1" applyBorder="1" applyAlignment="1">
      <alignment vertical="center"/>
    </xf>
    <xf numFmtId="3" fontId="32" fillId="0" borderId="34" xfId="0" applyNumberFormat="1" applyFont="1" applyFill="1" applyBorder="1" applyAlignment="1">
      <alignment horizontal="center" vertical="center"/>
    </xf>
    <xf numFmtId="3" fontId="32" fillId="0" borderId="31" xfId="0" applyNumberFormat="1" applyFont="1" applyFill="1" applyBorder="1" applyAlignment="1">
      <alignment horizontal="left" vertical="center"/>
    </xf>
    <xf numFmtId="49" fontId="32" fillId="0" borderId="47" xfId="0" applyNumberFormat="1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vertical="center"/>
    </xf>
    <xf numFmtId="3" fontId="1" fillId="0" borderId="3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31" xfId="0" applyNumberFormat="1" applyFont="1" applyFill="1" applyBorder="1" applyAlignment="1">
      <alignment horizontal="right" vertical="center"/>
    </xf>
    <xf numFmtId="3" fontId="1" fillId="0" borderId="30" xfId="0" applyNumberFormat="1" applyFont="1" applyFill="1" applyBorder="1" applyAlignment="1">
      <alignment horizontal="right" vertical="center"/>
    </xf>
    <xf numFmtId="0" fontId="1" fillId="0" borderId="0" xfId="0" applyFont="1"/>
    <xf numFmtId="3" fontId="1" fillId="0" borderId="0" xfId="0" applyNumberFormat="1" applyFont="1"/>
    <xf numFmtId="49" fontId="32" fillId="0" borderId="50" xfId="0" applyNumberFormat="1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horizontal="left" vertical="center"/>
    </xf>
    <xf numFmtId="3" fontId="1" fillId="0" borderId="33" xfId="0" applyNumberFormat="1" applyFont="1" applyFill="1" applyBorder="1" applyAlignment="1">
      <alignment vertical="center"/>
    </xf>
    <xf numFmtId="3" fontId="1" fillId="0" borderId="33" xfId="0" applyNumberFormat="1" applyFont="1" applyFill="1" applyBorder="1" applyAlignment="1">
      <alignment horizontal="right" vertical="center"/>
    </xf>
    <xf numFmtId="0" fontId="10" fillId="3" borderId="24" xfId="13" applyFont="1" applyFill="1" applyBorder="1" applyAlignment="1">
      <alignment vertical="center"/>
    </xf>
    <xf numFmtId="0" fontId="10" fillId="3" borderId="31" xfId="13" applyFont="1" applyFill="1" applyBorder="1" applyAlignment="1">
      <alignment vertical="center"/>
    </xf>
    <xf numFmtId="0" fontId="10" fillId="0" borderId="37" xfId="13" applyFont="1" applyFill="1" applyBorder="1" applyAlignment="1">
      <alignment vertical="center"/>
    </xf>
    <xf numFmtId="3" fontId="10" fillId="0" borderId="37" xfId="13" applyNumberFormat="1" applyFont="1" applyFill="1" applyBorder="1" applyAlignment="1">
      <alignment vertical="center"/>
    </xf>
    <xf numFmtId="3" fontId="10" fillId="0" borderId="31" xfId="13" applyNumberFormat="1" applyFont="1" applyFill="1" applyBorder="1" applyAlignment="1">
      <alignment vertical="center"/>
    </xf>
    <xf numFmtId="3" fontId="10" fillId="16" borderId="31" xfId="13" applyNumberFormat="1" applyFont="1" applyFill="1" applyBorder="1" applyAlignment="1">
      <alignment vertical="center"/>
    </xf>
    <xf numFmtId="3" fontId="15" fillId="12" borderId="32" xfId="45" applyNumberFormat="1" applyFont="1" applyFill="1" applyBorder="1" applyAlignment="1" applyProtection="1">
      <alignment vertical="center"/>
      <protection locked="0"/>
    </xf>
    <xf numFmtId="3" fontId="10" fillId="0" borderId="24" xfId="30" applyNumberFormat="1" applyFont="1" applyFill="1" applyBorder="1" applyAlignment="1">
      <alignment horizontal="right" vertical="center"/>
    </xf>
    <xf numFmtId="0" fontId="48" fillId="0" borderId="31" xfId="19" applyFont="1" applyFill="1" applyBorder="1" applyAlignment="1">
      <alignment vertical="center"/>
    </xf>
    <xf numFmtId="0" fontId="48" fillId="0" borderId="37" xfId="19" applyFont="1" applyFill="1" applyBorder="1" applyAlignment="1">
      <alignment vertical="center"/>
    </xf>
    <xf numFmtId="3" fontId="10" fillId="0" borderId="37" xfId="30" applyNumberFormat="1" applyFont="1" applyFill="1" applyBorder="1" applyAlignment="1">
      <alignment horizontal="right" vertical="center"/>
    </xf>
    <xf numFmtId="49" fontId="48" fillId="7" borderId="31" xfId="30" applyNumberFormat="1" applyFont="1" applyFill="1" applyBorder="1" applyAlignment="1">
      <alignment horizontal="left" vertical="center"/>
    </xf>
    <xf numFmtId="3" fontId="10" fillId="7" borderId="31" xfId="30" applyNumberFormat="1" applyFont="1" applyFill="1" applyBorder="1" applyAlignment="1">
      <alignment horizontal="right" vertical="center"/>
    </xf>
    <xf numFmtId="0" fontId="46" fillId="7" borderId="31" xfId="19" applyFont="1" applyFill="1" applyBorder="1" applyAlignment="1">
      <alignment vertical="center" wrapText="1"/>
    </xf>
    <xf numFmtId="3" fontId="10" fillId="0" borderId="0" xfId="13" applyNumberFormat="1" applyFont="1" applyFill="1" applyAlignment="1">
      <alignment vertical="center"/>
    </xf>
    <xf numFmtId="9" fontId="10" fillId="0" borderId="0" xfId="13" applyNumberFormat="1" applyFont="1" applyFill="1" applyAlignment="1">
      <alignment vertical="center"/>
    </xf>
    <xf numFmtId="3" fontId="10" fillId="0" borderId="0" xfId="13" applyNumberFormat="1" applyFont="1" applyBorder="1" applyAlignment="1">
      <alignment horizontal="center" vertical="center"/>
    </xf>
    <xf numFmtId="3" fontId="10" fillId="0" borderId="14" xfId="13" applyNumberFormat="1" applyFont="1" applyBorder="1" applyAlignment="1">
      <alignment horizontal="center" vertical="center"/>
    </xf>
    <xf numFmtId="3" fontId="5" fillId="0" borderId="0" xfId="13" applyNumberFormat="1" applyFont="1" applyFill="1" applyAlignment="1">
      <alignment vertical="center"/>
    </xf>
    <xf numFmtId="49" fontId="10" fillId="2" borderId="34" xfId="13" applyNumberFormat="1" applyFont="1" applyFill="1" applyBorder="1" applyAlignment="1">
      <alignment horizontal="center" vertical="center"/>
    </xf>
    <xf numFmtId="49" fontId="10" fillId="2" borderId="31" xfId="13" applyNumberFormat="1" applyFont="1" applyFill="1" applyBorder="1" applyAlignment="1">
      <alignment horizontal="center" vertical="center"/>
    </xf>
    <xf numFmtId="49" fontId="9" fillId="7" borderId="31" xfId="13" applyNumberFormat="1" applyFont="1" applyFill="1" applyBorder="1" applyAlignment="1">
      <alignment horizontal="left" vertical="center" wrapText="1"/>
    </xf>
    <xf numFmtId="3" fontId="9" fillId="7" borderId="32" xfId="13" applyNumberFormat="1" applyFont="1" applyFill="1" applyBorder="1" applyAlignment="1">
      <alignment vertical="center"/>
    </xf>
    <xf numFmtId="49" fontId="15" fillId="0" borderId="2" xfId="30" applyNumberFormat="1" applyFont="1" applyFill="1" applyBorder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49" fontId="10" fillId="2" borderId="47" xfId="13" applyNumberFormat="1" applyFont="1" applyFill="1" applyBorder="1" applyAlignment="1">
      <alignment horizontal="center" vertical="center"/>
    </xf>
    <xf numFmtId="49" fontId="10" fillId="2" borderId="30" xfId="13" applyNumberFormat="1" applyFont="1" applyFill="1" applyBorder="1" applyAlignment="1">
      <alignment horizontal="center" vertical="center"/>
    </xf>
    <xf numFmtId="49" fontId="14" fillId="3" borderId="59" xfId="13" applyNumberFormat="1" applyFont="1" applyFill="1" applyBorder="1" applyAlignment="1">
      <alignment horizontal="center" vertical="center"/>
    </xf>
    <xf numFmtId="49" fontId="15" fillId="3" borderId="49" xfId="13" applyNumberFormat="1" applyFont="1" applyFill="1" applyBorder="1" applyAlignment="1">
      <alignment horizontal="center" vertical="center"/>
    </xf>
    <xf numFmtId="49" fontId="14" fillId="3" borderId="45" xfId="13" applyNumberFormat="1" applyFont="1" applyFill="1" applyBorder="1" applyAlignment="1">
      <alignment horizontal="center" vertical="center"/>
    </xf>
    <xf numFmtId="49" fontId="14" fillId="7" borderId="30" xfId="30" applyNumberFormat="1" applyFont="1" applyFill="1" applyBorder="1" applyAlignment="1">
      <alignment horizontal="left" vertical="center" wrapText="1"/>
    </xf>
    <xf numFmtId="3" fontId="9" fillId="7" borderId="41" xfId="30" applyNumberFormat="1" applyFont="1" applyFill="1" applyBorder="1" applyAlignment="1">
      <alignment horizontal="right" vertical="center"/>
    </xf>
    <xf numFmtId="0" fontId="10" fillId="7" borderId="50" xfId="13" applyFont="1" applyFill="1" applyBorder="1" applyAlignment="1">
      <alignment horizontal="center" vertical="center"/>
    </xf>
    <xf numFmtId="0" fontId="10" fillId="7" borderId="33" xfId="13" applyFont="1" applyFill="1" applyBorder="1" applyAlignment="1">
      <alignment horizontal="center" vertical="center"/>
    </xf>
    <xf numFmtId="49" fontId="10" fillId="7" borderId="33" xfId="13" applyNumberFormat="1" applyFont="1" applyFill="1" applyBorder="1" applyAlignment="1">
      <alignment horizontal="center" vertical="center"/>
    </xf>
    <xf numFmtId="0" fontId="9" fillId="7" borderId="33" xfId="13" applyFont="1" applyFill="1" applyBorder="1" applyAlignment="1">
      <alignment vertical="center" wrapText="1"/>
    </xf>
    <xf numFmtId="49" fontId="10" fillId="2" borderId="25" xfId="0" applyNumberFormat="1" applyFont="1" applyFill="1" applyBorder="1" applyAlignment="1">
      <alignment horizontal="center" vertical="center"/>
    </xf>
    <xf numFmtId="49" fontId="10" fillId="2" borderId="24" xfId="0" applyNumberFormat="1" applyFont="1" applyFill="1" applyBorder="1" applyAlignment="1">
      <alignment horizontal="center" vertical="center"/>
    </xf>
    <xf numFmtId="49" fontId="14" fillId="2" borderId="24" xfId="30" applyNumberFormat="1" applyFont="1" applyFill="1" applyBorder="1" applyAlignment="1">
      <alignment horizontal="left" vertical="center" wrapText="1"/>
    </xf>
    <xf numFmtId="49" fontId="9" fillId="2" borderId="24" xfId="0" applyNumberFormat="1" applyFont="1" applyFill="1" applyBorder="1" applyAlignment="1">
      <alignment horizontal="right" vertical="center"/>
    </xf>
    <xf numFmtId="49" fontId="10" fillId="2" borderId="34" xfId="0" applyNumberFormat="1" applyFont="1" applyFill="1" applyBorder="1" applyAlignment="1">
      <alignment horizontal="center" vertical="center"/>
    </xf>
    <xf numFmtId="49" fontId="10" fillId="2" borderId="31" xfId="0" applyNumberFormat="1" applyFont="1" applyFill="1" applyBorder="1" applyAlignment="1">
      <alignment horizontal="center" vertical="center"/>
    </xf>
    <xf numFmtId="49" fontId="14" fillId="2" borderId="31" xfId="30" applyNumberFormat="1" applyFont="1" applyFill="1" applyBorder="1" applyAlignment="1">
      <alignment horizontal="left" vertical="center" wrapText="1"/>
    </xf>
    <xf numFmtId="49" fontId="9" fillId="2" borderId="31" xfId="0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3" fontId="10" fillId="0" borderId="0" xfId="13" applyNumberFormat="1" applyFont="1" applyAlignment="1">
      <alignment horizontal="right" vertical="center"/>
    </xf>
    <xf numFmtId="3" fontId="10" fillId="0" borderId="11" xfId="13" applyNumberFormat="1" applyFont="1" applyBorder="1" applyAlignment="1">
      <alignment horizontal="right" vertical="center"/>
    </xf>
    <xf numFmtId="49" fontId="10" fillId="7" borderId="50" xfId="13" applyNumberFormat="1" applyFont="1" applyFill="1" applyBorder="1" applyAlignment="1">
      <alignment horizontal="center" vertical="center"/>
    </xf>
    <xf numFmtId="0" fontId="46" fillId="7" borderId="37" xfId="19" applyFont="1" applyFill="1" applyBorder="1" applyAlignment="1">
      <alignment vertical="center"/>
    </xf>
    <xf numFmtId="3" fontId="9" fillId="7" borderId="37" xfId="30" applyNumberFormat="1" applyFont="1" applyFill="1" applyBorder="1" applyAlignment="1">
      <alignment horizontal="right" vertical="center"/>
    </xf>
    <xf numFmtId="0" fontId="46" fillId="7" borderId="30" xfId="19" applyFont="1" applyFill="1" applyBorder="1" applyAlignment="1">
      <alignment vertical="center"/>
    </xf>
    <xf numFmtId="49" fontId="45" fillId="7" borderId="31" xfId="13" applyNumberFormat="1" applyFont="1" applyFill="1" applyBorder="1" applyAlignment="1">
      <alignment vertical="center" wrapText="1"/>
    </xf>
    <xf numFmtId="49" fontId="10" fillId="7" borderId="50" xfId="13" applyNumberFormat="1" applyFont="1" applyFill="1" applyBorder="1" applyAlignment="1">
      <alignment horizontal="center"/>
    </xf>
    <xf numFmtId="49" fontId="10" fillId="7" borderId="33" xfId="13" applyNumberFormat="1" applyFont="1" applyFill="1" applyBorder="1" applyAlignment="1">
      <alignment horizontal="center"/>
    </xf>
    <xf numFmtId="49" fontId="45" fillId="7" borderId="33" xfId="13" applyNumberFormat="1" applyFont="1" applyFill="1" applyBorder="1"/>
    <xf numFmtId="3" fontId="9" fillId="7" borderId="33" xfId="13" applyNumberFormat="1" applyFont="1" applyFill="1" applyBorder="1" applyAlignment="1">
      <alignment horizontal="right" vertical="center"/>
    </xf>
    <xf numFmtId="49" fontId="45" fillId="7" borderId="31" xfId="13" applyNumberFormat="1" applyFont="1" applyFill="1" applyBorder="1" applyAlignment="1">
      <alignment horizontal="left" vertical="center" wrapText="1"/>
    </xf>
    <xf numFmtId="49" fontId="46" fillId="7" borderId="31" xfId="30" applyNumberFormat="1" applyFont="1" applyFill="1" applyBorder="1" applyAlignment="1">
      <alignment horizontal="left" vertical="center" wrapText="1"/>
    </xf>
    <xf numFmtId="49" fontId="46" fillId="7" borderId="31" xfId="30" applyNumberFormat="1" applyFont="1" applyFill="1" applyBorder="1" applyAlignment="1">
      <alignment horizontal="left" vertical="center"/>
    </xf>
    <xf numFmtId="3" fontId="9" fillId="7" borderId="77" xfId="13" applyNumberFormat="1" applyFont="1" applyFill="1" applyBorder="1" applyAlignment="1">
      <alignment horizontal="right" vertical="center"/>
    </xf>
    <xf numFmtId="49" fontId="46" fillId="7" borderId="31" xfId="13" applyNumberFormat="1" applyFont="1" applyFill="1" applyBorder="1" applyAlignment="1">
      <alignment vertical="center"/>
    </xf>
    <xf numFmtId="49" fontId="46" fillId="7" borderId="31" xfId="13" applyNumberFormat="1" applyFont="1" applyFill="1" applyBorder="1" applyAlignment="1">
      <alignment horizontal="left" vertical="center"/>
    </xf>
    <xf numFmtId="49" fontId="10" fillId="7" borderId="45" xfId="13" applyNumberFormat="1" applyFont="1" applyFill="1" applyBorder="1" applyAlignment="1">
      <alignment horizontal="center" vertical="center"/>
    </xf>
    <xf numFmtId="49" fontId="10" fillId="7" borderId="15" xfId="13" applyNumberFormat="1" applyFont="1" applyFill="1" applyBorder="1" applyAlignment="1">
      <alignment horizontal="center" vertical="center"/>
    </xf>
    <xf numFmtId="0" fontId="9" fillId="7" borderId="15" xfId="13" applyFont="1" applyFill="1" applyBorder="1" applyAlignment="1">
      <alignment vertical="center" wrapText="1"/>
    </xf>
    <xf numFmtId="3" fontId="9" fillId="7" borderId="29" xfId="13" applyNumberFormat="1" applyFont="1" applyFill="1" applyBorder="1" applyAlignment="1">
      <alignment vertical="center"/>
    </xf>
    <xf numFmtId="49" fontId="9" fillId="0" borderId="56" xfId="13" applyNumberFormat="1" applyFont="1" applyFill="1" applyBorder="1" applyAlignment="1">
      <alignment horizontal="left" vertical="center"/>
    </xf>
    <xf numFmtId="49" fontId="9" fillId="0" borderId="56" xfId="13" applyNumberFormat="1" applyFont="1" applyFill="1" applyBorder="1"/>
    <xf numFmtId="3" fontId="37" fillId="0" borderId="0" xfId="13" applyNumberFormat="1" applyFill="1" applyAlignment="1">
      <alignment vertical="center"/>
    </xf>
    <xf numFmtId="49" fontId="9" fillId="7" borderId="31" xfId="13" applyNumberFormat="1" applyFont="1" applyFill="1" applyBorder="1" applyAlignment="1">
      <alignment vertical="center"/>
    </xf>
    <xf numFmtId="3" fontId="9" fillId="7" borderId="24" xfId="13" applyNumberFormat="1" applyFont="1" applyFill="1" applyBorder="1" applyAlignment="1">
      <alignment vertical="center"/>
    </xf>
    <xf numFmtId="3" fontId="9" fillId="7" borderId="31" xfId="13" applyNumberFormat="1" applyFont="1" applyFill="1" applyBorder="1" applyAlignment="1">
      <alignment vertical="center"/>
    </xf>
    <xf numFmtId="3" fontId="9" fillId="9" borderId="32" xfId="13" applyNumberFormat="1" applyFont="1" applyFill="1" applyBorder="1" applyAlignment="1">
      <alignment vertical="center"/>
    </xf>
    <xf numFmtId="3" fontId="9" fillId="9" borderId="31" xfId="30" applyNumberFormat="1" applyFont="1" applyFill="1" applyBorder="1" applyAlignment="1">
      <alignment horizontal="right" vertical="center"/>
    </xf>
    <xf numFmtId="3" fontId="9" fillId="9" borderId="32" xfId="30" applyNumberFormat="1" applyFont="1" applyFill="1" applyBorder="1" applyAlignment="1">
      <alignment horizontal="right" vertical="center"/>
    </xf>
    <xf numFmtId="3" fontId="23" fillId="0" borderId="0" xfId="13" applyNumberFormat="1" applyFont="1" applyFill="1" applyBorder="1" applyAlignment="1">
      <alignment horizontal="center" vertical="center"/>
    </xf>
    <xf numFmtId="49" fontId="34" fillId="0" borderId="0" xfId="13" applyNumberFormat="1" applyFont="1" applyFill="1" applyBorder="1" applyAlignment="1">
      <alignment horizontal="center" vertical="center"/>
    </xf>
    <xf numFmtId="3" fontId="5" fillId="0" borderId="0" xfId="13" applyNumberFormat="1" applyFont="1" applyFill="1" applyBorder="1" applyAlignment="1">
      <alignment vertical="center"/>
    </xf>
    <xf numFmtId="0" fontId="5" fillId="0" borderId="0" xfId="13" applyFont="1" applyFill="1" applyBorder="1" applyAlignment="1">
      <alignment vertical="center"/>
    </xf>
    <xf numFmtId="49" fontId="10" fillId="0" borderId="25" xfId="13" applyNumberFormat="1" applyFont="1" applyFill="1" applyBorder="1" applyAlignment="1">
      <alignment horizontal="center" vertical="center"/>
    </xf>
    <xf numFmtId="49" fontId="10" fillId="0" borderId="40" xfId="13" applyNumberFormat="1" applyFont="1" applyFill="1" applyBorder="1" applyAlignment="1">
      <alignment horizontal="center" vertical="center"/>
    </xf>
    <xf numFmtId="49" fontId="9" fillId="0" borderId="24" xfId="30" applyNumberFormat="1" applyFont="1" applyFill="1" applyBorder="1" applyAlignment="1">
      <alignment vertical="center"/>
    </xf>
    <xf numFmtId="3" fontId="9" fillId="0" borderId="40" xfId="30" applyNumberFormat="1" applyFont="1" applyFill="1" applyBorder="1" applyAlignment="1">
      <alignment horizontal="right" vertical="center"/>
    </xf>
    <xf numFmtId="49" fontId="55" fillId="0" borderId="0" xfId="13" applyNumberFormat="1" applyFont="1" applyFill="1" applyBorder="1" applyAlignment="1">
      <alignment horizontal="center" vertical="center"/>
    </xf>
    <xf numFmtId="49" fontId="9" fillId="0" borderId="0" xfId="13" applyNumberFormat="1" applyFont="1" applyFill="1" applyBorder="1" applyAlignment="1">
      <alignment vertical="center"/>
    </xf>
    <xf numFmtId="49" fontId="15" fillId="7" borderId="25" xfId="13" applyNumberFormat="1" applyFont="1" applyFill="1" applyBorder="1" applyAlignment="1">
      <alignment horizontal="center" vertical="center"/>
    </xf>
    <xf numFmtId="49" fontId="15" fillId="7" borderId="24" xfId="13" applyNumberFormat="1" applyFont="1" applyFill="1" applyBorder="1" applyAlignment="1">
      <alignment horizontal="center" vertical="center"/>
    </xf>
    <xf numFmtId="49" fontId="9" fillId="7" borderId="24" xfId="13" applyNumberFormat="1" applyFont="1" applyFill="1" applyBorder="1" applyAlignment="1">
      <alignment vertical="center"/>
    </xf>
    <xf numFmtId="49" fontId="15" fillId="7" borderId="34" xfId="13" applyNumberFormat="1" applyFont="1" applyFill="1" applyBorder="1" applyAlignment="1">
      <alignment horizontal="center" vertical="center"/>
    </xf>
    <xf numFmtId="49" fontId="15" fillId="7" borderId="31" xfId="13" applyNumberFormat="1" applyFont="1" applyFill="1" applyBorder="1" applyAlignment="1">
      <alignment horizontal="center" vertical="center"/>
    </xf>
    <xf numFmtId="0" fontId="10" fillId="2" borderId="45" xfId="13" applyFont="1" applyFill="1" applyBorder="1" applyAlignment="1">
      <alignment horizontal="center" vertical="center"/>
    </xf>
    <xf numFmtId="0" fontId="10" fillId="2" borderId="15" xfId="13" applyFont="1" applyFill="1" applyBorder="1" applyAlignment="1">
      <alignment horizontal="center" vertical="center"/>
    </xf>
    <xf numFmtId="3" fontId="14" fillId="2" borderId="29" xfId="13" applyNumberFormat="1" applyFont="1" applyFill="1" applyBorder="1" applyAlignment="1">
      <alignment vertical="center"/>
    </xf>
    <xf numFmtId="49" fontId="56" fillId="0" borderId="0" xfId="13" applyNumberFormat="1" applyFont="1" applyFill="1" applyBorder="1" applyAlignment="1">
      <alignment horizontal="center" vertical="center"/>
    </xf>
    <xf numFmtId="0" fontId="38" fillId="0" borderId="0" xfId="10" applyFont="1" applyFill="1" applyBorder="1"/>
    <xf numFmtId="0" fontId="46" fillId="7" borderId="33" xfId="19" applyFont="1" applyFill="1" applyBorder="1" applyAlignment="1">
      <alignment vertical="center"/>
    </xf>
    <xf numFmtId="49" fontId="10" fillId="7" borderId="25" xfId="13" applyNumberFormat="1" applyFont="1" applyFill="1" applyBorder="1" applyAlignment="1">
      <alignment horizontal="center" vertical="center"/>
    </xf>
    <xf numFmtId="49" fontId="10" fillId="7" borderId="24" xfId="13" applyNumberFormat="1" applyFont="1" applyFill="1" applyBorder="1" applyAlignment="1">
      <alignment horizontal="center" vertical="center"/>
    </xf>
    <xf numFmtId="0" fontId="38" fillId="7" borderId="24" xfId="10" applyFont="1" applyFill="1" applyBorder="1"/>
    <xf numFmtId="3" fontId="1" fillId="0" borderId="54" xfId="0" applyNumberFormat="1" applyFont="1" applyFill="1" applyBorder="1" applyAlignment="1">
      <alignment horizontal="right" vertical="center"/>
    </xf>
    <xf numFmtId="3" fontId="1" fillId="0" borderId="44" xfId="0" applyNumberFormat="1" applyFont="1" applyFill="1" applyBorder="1" applyAlignment="1">
      <alignment horizontal="right" vertical="center"/>
    </xf>
    <xf numFmtId="3" fontId="57" fillId="0" borderId="0" xfId="13" applyNumberFormat="1" applyFont="1" applyFill="1" applyAlignment="1">
      <alignment vertical="center"/>
    </xf>
    <xf numFmtId="3" fontId="17" fillId="0" borderId="0" xfId="0" applyNumberFormat="1" applyFont="1" applyAlignment="1">
      <alignment vertical="center"/>
    </xf>
    <xf numFmtId="3" fontId="34" fillId="0" borderId="10" xfId="0" applyNumberFormat="1" applyFont="1" applyFill="1" applyBorder="1" applyAlignment="1">
      <alignment vertical="center"/>
    </xf>
    <xf numFmtId="43" fontId="1" fillId="0" borderId="0" xfId="1" applyFont="1" applyFill="1" applyAlignment="1">
      <alignment horizontal="center" vertical="center"/>
    </xf>
    <xf numFmtId="43" fontId="10" fillId="0" borderId="0" xfId="1" applyFont="1" applyFill="1" applyAlignment="1">
      <alignment horizontal="center" vertical="center"/>
    </xf>
    <xf numFmtId="43" fontId="9" fillId="0" borderId="0" xfId="1" applyFont="1" applyFill="1" applyBorder="1" applyAlignment="1">
      <alignment horizontal="center" vertical="justify"/>
    </xf>
    <xf numFmtId="43" fontId="12" fillId="0" borderId="0" xfId="1" applyFont="1" applyFill="1" applyBorder="1" applyAlignment="1">
      <alignment horizontal="right" vertical="center"/>
    </xf>
    <xf numFmtId="43" fontId="1" fillId="0" borderId="0" xfId="1" applyFont="1" applyFill="1" applyAlignment="1">
      <alignment horizontal="right" vertical="center"/>
    </xf>
    <xf numFmtId="43" fontId="9" fillId="0" borderId="36" xfId="1" applyFont="1" applyFill="1" applyBorder="1" applyAlignment="1">
      <alignment horizontal="right" vertical="center"/>
    </xf>
    <xf numFmtId="43" fontId="9" fillId="0" borderId="32" xfId="1" applyFont="1" applyFill="1" applyBorder="1" applyAlignment="1">
      <alignment horizontal="right" vertical="center"/>
    </xf>
    <xf numFmtId="43" fontId="9" fillId="0" borderId="41" xfId="1" applyFont="1" applyFill="1" applyBorder="1" applyAlignment="1">
      <alignment horizontal="right" vertical="center"/>
    </xf>
    <xf numFmtId="43" fontId="10" fillId="0" borderId="0" xfId="1" applyFont="1" applyFill="1" applyAlignment="1">
      <alignment horizontal="right" vertical="center"/>
    </xf>
    <xf numFmtId="43" fontId="9" fillId="9" borderId="13" xfId="1" applyFont="1" applyFill="1" applyBorder="1" applyAlignment="1">
      <alignment horizontal="right" vertical="center"/>
    </xf>
    <xf numFmtId="43" fontId="17" fillId="0" borderId="0" xfId="1" applyFont="1" applyFill="1" applyAlignment="1">
      <alignment horizontal="center" vertical="center"/>
    </xf>
    <xf numFmtId="43" fontId="1" fillId="0" borderId="0" xfId="1" applyFont="1" applyFill="1" applyAlignment="1">
      <alignment horizontal="center"/>
    </xf>
    <xf numFmtId="43" fontId="58" fillId="0" borderId="0" xfId="1" applyFont="1" applyFill="1" applyAlignment="1">
      <alignment horizontal="center" vertical="center"/>
    </xf>
    <xf numFmtId="43" fontId="17" fillId="0" borderId="0" xfId="1" applyFont="1" applyFill="1" applyBorder="1" applyAlignment="1">
      <alignment horizontal="right" vertical="center"/>
    </xf>
    <xf numFmtId="43" fontId="9" fillId="0" borderId="54" xfId="1" applyFont="1" applyFill="1" applyBorder="1" applyAlignment="1">
      <alignment horizontal="right" vertical="center"/>
    </xf>
    <xf numFmtId="43" fontId="9" fillId="0" borderId="44" xfId="1" applyFont="1" applyFill="1" applyBorder="1" applyAlignment="1">
      <alignment horizontal="right" vertical="center"/>
    </xf>
    <xf numFmtId="43" fontId="9" fillId="0" borderId="48" xfId="1" applyFont="1" applyFill="1" applyBorder="1" applyAlignment="1">
      <alignment horizontal="right" vertical="center"/>
    </xf>
    <xf numFmtId="43" fontId="9" fillId="9" borderId="22" xfId="1" applyFont="1" applyFill="1" applyBorder="1" applyAlignment="1">
      <alignment horizontal="right" vertical="center"/>
    </xf>
    <xf numFmtId="43" fontId="1" fillId="0" borderId="0" xfId="1" applyFont="1" applyAlignment="1">
      <alignment vertical="center"/>
    </xf>
    <xf numFmtId="43" fontId="17" fillId="0" borderId="0" xfId="1" applyFont="1" applyFill="1" applyBorder="1" applyAlignment="1">
      <alignment horizontal="center" vertical="justify"/>
    </xf>
    <xf numFmtId="3" fontId="1" fillId="0" borderId="0" xfId="0" applyNumberFormat="1" applyFont="1" applyFill="1" applyAlignment="1">
      <alignment vertical="center"/>
    </xf>
    <xf numFmtId="169" fontId="17" fillId="0" borderId="0" xfId="1" applyNumberFormat="1" applyFont="1" applyFill="1" applyBorder="1" applyAlignment="1">
      <alignment horizontal="right" vertical="center"/>
    </xf>
    <xf numFmtId="169" fontId="17" fillId="0" borderId="0" xfId="1" applyNumberFormat="1" applyFont="1" applyFill="1" applyAlignment="1">
      <alignment horizontal="right" vertical="center"/>
    </xf>
    <xf numFmtId="43" fontId="17" fillId="0" borderId="0" xfId="1" applyFont="1" applyFill="1" applyAlignment="1">
      <alignment horizontal="right" vertical="center"/>
    </xf>
    <xf numFmtId="4" fontId="17" fillId="0" borderId="0" xfId="0" applyNumberFormat="1" applyFont="1" applyFill="1" applyBorder="1" applyAlignment="1">
      <alignment horizontal="center" vertical="center"/>
    </xf>
    <xf numFmtId="0" fontId="38" fillId="7" borderId="37" xfId="10" applyFont="1" applyFill="1" applyBorder="1"/>
    <xf numFmtId="49" fontId="15" fillId="3" borderId="16" xfId="13" applyNumberFormat="1" applyFont="1" applyFill="1" applyBorder="1" applyAlignment="1">
      <alignment horizontal="center" vertical="center"/>
    </xf>
    <xf numFmtId="49" fontId="15" fillId="3" borderId="15" xfId="13" applyNumberFormat="1" applyFont="1" applyFill="1" applyBorder="1" applyAlignment="1">
      <alignment horizontal="center" vertical="center"/>
    </xf>
    <xf numFmtId="49" fontId="15" fillId="3" borderId="14" xfId="13" applyNumberFormat="1" applyFont="1" applyFill="1" applyBorder="1" applyAlignment="1">
      <alignment horizontal="center" vertical="center"/>
    </xf>
    <xf numFmtId="0" fontId="10" fillId="3" borderId="15" xfId="13" applyFont="1" applyFill="1" applyBorder="1" applyAlignment="1">
      <alignment vertical="center"/>
    </xf>
    <xf numFmtId="49" fontId="9" fillId="7" borderId="24" xfId="30" applyNumberFormat="1" applyFont="1" applyFill="1" applyBorder="1" applyAlignment="1">
      <alignment vertical="center"/>
    </xf>
    <xf numFmtId="3" fontId="9" fillId="7" borderId="40" xfId="30" applyNumberFormat="1" applyFont="1" applyFill="1" applyBorder="1" applyAlignment="1">
      <alignment horizontal="right" vertical="center"/>
    </xf>
    <xf numFmtId="49" fontId="14" fillId="7" borderId="45" xfId="13" applyNumberFormat="1" applyFont="1" applyFill="1" applyBorder="1" applyAlignment="1">
      <alignment horizontal="center" vertical="center"/>
    </xf>
    <xf numFmtId="49" fontId="14" fillId="7" borderId="15" xfId="13" applyNumberFormat="1" applyFont="1" applyFill="1" applyBorder="1" applyAlignment="1">
      <alignment horizontal="center" vertical="center"/>
    </xf>
    <xf numFmtId="0" fontId="9" fillId="7" borderId="30" xfId="13" applyFont="1" applyFill="1" applyBorder="1" applyAlignment="1">
      <alignment vertical="center"/>
    </xf>
    <xf numFmtId="3" fontId="14" fillId="7" borderId="31" xfId="45" applyNumberFormat="1" applyFont="1" applyFill="1" applyBorder="1" applyAlignment="1" applyProtection="1">
      <alignment vertical="center"/>
      <protection locked="0"/>
    </xf>
    <xf numFmtId="0" fontId="9" fillId="7" borderId="24" xfId="13" applyFont="1" applyFill="1" applyBorder="1" applyAlignment="1">
      <alignment vertical="center"/>
    </xf>
    <xf numFmtId="43" fontId="57" fillId="0" borderId="0" xfId="1" applyFont="1" applyFill="1" applyAlignment="1">
      <alignment horizontal="center" vertical="center"/>
    </xf>
    <xf numFmtId="49" fontId="45" fillId="2" borderId="31" xfId="13" applyNumberFormat="1" applyFont="1" applyFill="1" applyBorder="1" applyAlignment="1">
      <alignment vertical="center"/>
    </xf>
    <xf numFmtId="49" fontId="46" fillId="2" borderId="31" xfId="30" applyNumberFormat="1" applyFont="1" applyFill="1" applyBorder="1" applyAlignment="1">
      <alignment horizontal="left" vertical="center"/>
    </xf>
    <xf numFmtId="0" fontId="40" fillId="0" borderId="2" xfId="0" applyFont="1" applyFill="1" applyBorder="1" applyAlignment="1">
      <alignment horizontal="left" vertical="center" wrapText="1"/>
    </xf>
    <xf numFmtId="3" fontId="35" fillId="0" borderId="0" xfId="1" applyNumberFormat="1" applyFont="1"/>
    <xf numFmtId="3" fontId="53" fillId="0" borderId="0" xfId="1" applyNumberFormat="1" applyFont="1"/>
    <xf numFmtId="3" fontId="54" fillId="0" borderId="0" xfId="1" applyNumberFormat="1" applyFont="1"/>
    <xf numFmtId="3" fontId="51" fillId="0" borderId="0" xfId="1" applyNumberFormat="1" applyFont="1"/>
    <xf numFmtId="49" fontId="48" fillId="7" borderId="33" xfId="30" applyNumberFormat="1" applyFont="1" applyFill="1" applyBorder="1" applyAlignment="1">
      <alignment horizontal="left" vertical="center"/>
    </xf>
    <xf numFmtId="3" fontId="9" fillId="7" borderId="15" xfId="13" applyNumberFormat="1" applyFont="1" applyFill="1" applyBorder="1" applyAlignment="1">
      <alignment horizontal="right" vertical="center" wrapText="1"/>
    </xf>
    <xf numFmtId="49" fontId="14" fillId="7" borderId="97" xfId="13" applyNumberFormat="1" applyFont="1" applyFill="1" applyBorder="1" applyAlignment="1">
      <alignment horizontal="center" vertical="center"/>
    </xf>
    <xf numFmtId="49" fontId="14" fillId="7" borderId="24" xfId="13" applyNumberFormat="1" applyFont="1" applyFill="1" applyBorder="1" applyAlignment="1">
      <alignment horizontal="center" vertical="center"/>
    </xf>
    <xf numFmtId="49" fontId="14" fillId="7" borderId="98" xfId="13" applyNumberFormat="1" applyFont="1" applyFill="1" applyBorder="1" applyAlignment="1">
      <alignment horizontal="center" vertical="center"/>
    </xf>
    <xf numFmtId="0" fontId="9" fillId="7" borderId="24" xfId="13" applyFont="1" applyFill="1" applyBorder="1" applyAlignment="1">
      <alignment vertical="center" wrapText="1"/>
    </xf>
    <xf numFmtId="3" fontId="9" fillId="7" borderId="24" xfId="13" applyNumberFormat="1" applyFont="1" applyFill="1" applyBorder="1" applyAlignment="1">
      <alignment horizontal="right" vertical="center" wrapText="1"/>
    </xf>
    <xf numFmtId="3" fontId="37" fillId="0" borderId="0" xfId="13" applyNumberFormat="1" applyAlignment="1">
      <alignment vertical="center"/>
    </xf>
    <xf numFmtId="43" fontId="5" fillId="0" borderId="0" xfId="1" applyFont="1" applyBorder="1" applyAlignment="1">
      <alignment vertical="center"/>
    </xf>
    <xf numFmtId="43" fontId="5" fillId="0" borderId="0" xfId="1" applyFont="1" applyFill="1" applyAlignment="1">
      <alignment vertical="center"/>
    </xf>
    <xf numFmtId="43" fontId="5" fillId="0" borderId="0" xfId="1" applyFont="1" applyAlignment="1">
      <alignment vertical="center"/>
    </xf>
    <xf numFmtId="0" fontId="59" fillId="0" borderId="0" xfId="13" applyFont="1" applyAlignment="1">
      <alignment vertical="center"/>
    </xf>
    <xf numFmtId="0" fontId="1" fillId="0" borderId="0" xfId="13" applyFont="1" applyAlignment="1">
      <alignment vertical="center"/>
    </xf>
    <xf numFmtId="4" fontId="10" fillId="0" borderId="0" xfId="13" applyNumberFormat="1" applyFont="1" applyAlignment="1">
      <alignment horizontal="center" vertical="center"/>
    </xf>
    <xf numFmtId="0" fontId="17" fillId="0" borderId="0" xfId="13" applyFont="1" applyAlignment="1">
      <alignment vertical="center"/>
    </xf>
    <xf numFmtId="4" fontId="17" fillId="0" borderId="0" xfId="13" applyNumberFormat="1" applyFont="1" applyAlignment="1">
      <alignment horizontal="center" vertical="center"/>
    </xf>
    <xf numFmtId="0" fontId="17" fillId="0" borderId="0" xfId="13" applyFont="1" applyAlignment="1">
      <alignment horizontal="center" vertical="center"/>
    </xf>
    <xf numFmtId="0" fontId="60" fillId="0" borderId="0" xfId="13" applyFont="1" applyAlignment="1">
      <alignment vertical="center"/>
    </xf>
    <xf numFmtId="49" fontId="61" fillId="2" borderId="64" xfId="13" applyNumberFormat="1" applyFont="1" applyFill="1" applyBorder="1" applyAlignment="1">
      <alignment horizontal="center" vertical="center"/>
    </xf>
    <xf numFmtId="49" fontId="61" fillId="2" borderId="65" xfId="13" applyNumberFormat="1" applyFont="1" applyFill="1" applyBorder="1" applyAlignment="1">
      <alignment horizontal="center" vertical="center"/>
    </xf>
    <xf numFmtId="0" fontId="61" fillId="2" borderId="66" xfId="13" applyNumberFormat="1" applyFont="1" applyFill="1" applyBorder="1" applyAlignment="1">
      <alignment horizontal="center" vertical="center"/>
    </xf>
    <xf numFmtId="0" fontId="56" fillId="0" borderId="0" xfId="13" applyFont="1" applyFill="1" applyAlignment="1">
      <alignment vertical="center"/>
    </xf>
    <xf numFmtId="0" fontId="1" fillId="0" borderId="25" xfId="13" applyFont="1" applyFill="1" applyBorder="1" applyAlignment="1">
      <alignment horizontal="center" vertical="center"/>
    </xf>
    <xf numFmtId="0" fontId="34" fillId="0" borderId="24" xfId="13" applyFont="1" applyFill="1" applyBorder="1" applyAlignment="1">
      <alignment vertical="center"/>
    </xf>
    <xf numFmtId="3" fontId="34" fillId="4" borderId="23" xfId="13" applyNumberFormat="1" applyFont="1" applyFill="1" applyBorder="1" applyAlignment="1">
      <alignment vertical="center"/>
    </xf>
    <xf numFmtId="0" fontId="62" fillId="0" borderId="0" xfId="13" applyFont="1" applyFill="1" applyAlignment="1">
      <alignment vertical="center"/>
    </xf>
    <xf numFmtId="0" fontId="1" fillId="0" borderId="47" xfId="13" applyFont="1" applyFill="1" applyBorder="1" applyAlignment="1">
      <alignment horizontal="center" vertical="center"/>
    </xf>
    <xf numFmtId="0" fontId="34" fillId="0" borderId="30" xfId="13" applyFont="1" applyFill="1" applyBorder="1" applyAlignment="1">
      <alignment vertical="center"/>
    </xf>
    <xf numFmtId="3" fontId="34" fillId="0" borderId="48" xfId="13" applyNumberFormat="1" applyFont="1" applyFill="1" applyBorder="1" applyAlignment="1">
      <alignment vertical="center"/>
    </xf>
    <xf numFmtId="4" fontId="10" fillId="0" borderId="0" xfId="13" applyNumberFormat="1" applyFont="1" applyFill="1" applyAlignment="1">
      <alignment horizontal="center" vertical="center"/>
    </xf>
    <xf numFmtId="0" fontId="56" fillId="0" borderId="0" xfId="13" applyFont="1" applyFill="1" applyBorder="1" applyAlignment="1">
      <alignment horizontal="center" vertical="center"/>
    </xf>
    <xf numFmtId="0" fontId="56" fillId="0" borderId="34" xfId="13" applyFont="1" applyFill="1" applyBorder="1" applyAlignment="1">
      <alignment vertical="center"/>
    </xf>
    <xf numFmtId="3" fontId="56" fillId="0" borderId="44" xfId="13" applyNumberFormat="1" applyFont="1" applyFill="1" applyBorder="1" applyAlignment="1">
      <alignment vertical="center"/>
    </xf>
    <xf numFmtId="0" fontId="56" fillId="0" borderId="47" xfId="13" applyFont="1" applyFill="1" applyBorder="1" applyAlignment="1">
      <alignment vertical="center"/>
    </xf>
    <xf numFmtId="3" fontId="56" fillId="0" borderId="48" xfId="13" applyNumberFormat="1" applyFont="1" applyFill="1" applyBorder="1" applyAlignment="1">
      <alignment vertical="center"/>
    </xf>
    <xf numFmtId="0" fontId="34" fillId="2" borderId="13" xfId="13" applyFont="1" applyFill="1" applyBorder="1" applyAlignment="1">
      <alignment vertical="center"/>
    </xf>
    <xf numFmtId="3" fontId="34" fillId="2" borderId="22" xfId="13" applyNumberFormat="1" applyFont="1" applyFill="1" applyBorder="1" applyAlignment="1">
      <alignment vertical="center"/>
    </xf>
    <xf numFmtId="0" fontId="34" fillId="0" borderId="0" xfId="13" applyFont="1" applyFill="1" applyBorder="1" applyAlignment="1">
      <alignment horizontal="center" vertical="center"/>
    </xf>
    <xf numFmtId="0" fontId="34" fillId="0" borderId="0" xfId="13" applyFont="1" applyFill="1" applyBorder="1" applyAlignment="1">
      <alignment vertical="center"/>
    </xf>
    <xf numFmtId="3" fontId="34" fillId="0" borderId="0" xfId="13" applyNumberFormat="1" applyFont="1" applyFill="1" applyBorder="1" applyAlignment="1">
      <alignment vertical="center"/>
    </xf>
    <xf numFmtId="0" fontId="56" fillId="0" borderId="0" xfId="13" applyFont="1" applyFill="1" applyBorder="1" applyAlignment="1">
      <alignment vertical="center"/>
    </xf>
    <xf numFmtId="3" fontId="56" fillId="0" borderId="0" xfId="13" applyNumberFormat="1" applyFont="1" applyFill="1" applyBorder="1" applyAlignment="1">
      <alignment vertical="center"/>
    </xf>
    <xf numFmtId="4" fontId="10" fillId="0" borderId="0" xfId="13" applyNumberFormat="1" applyFont="1" applyFill="1" applyBorder="1" applyAlignment="1">
      <alignment horizontal="center" vertical="center"/>
    </xf>
    <xf numFmtId="0" fontId="62" fillId="0" borderId="0" xfId="13" applyFont="1" applyFill="1" applyBorder="1" applyAlignment="1">
      <alignment vertical="center"/>
    </xf>
    <xf numFmtId="3" fontId="34" fillId="0" borderId="23" xfId="13" applyNumberFormat="1" applyFont="1" applyFill="1" applyBorder="1" applyAlignment="1">
      <alignment vertical="center"/>
    </xf>
    <xf numFmtId="4" fontId="9" fillId="0" borderId="0" xfId="13" applyNumberFormat="1" applyFont="1" applyFill="1" applyAlignment="1">
      <alignment horizontal="center" vertical="center"/>
    </xf>
    <xf numFmtId="3" fontId="62" fillId="0" borderId="0" xfId="13" applyNumberFormat="1" applyFont="1" applyFill="1" applyAlignment="1">
      <alignment vertical="center"/>
    </xf>
    <xf numFmtId="3" fontId="56" fillId="0" borderId="0" xfId="13" applyNumberFormat="1" applyFont="1" applyFill="1" applyAlignment="1">
      <alignment vertical="center"/>
    </xf>
    <xf numFmtId="0" fontId="60" fillId="0" borderId="0" xfId="13" applyFont="1" applyFill="1" applyAlignment="1">
      <alignment vertical="center"/>
    </xf>
    <xf numFmtId="3" fontId="60" fillId="0" borderId="0" xfId="13" applyNumberFormat="1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168" fontId="52" fillId="0" borderId="0" xfId="43" applyNumberFormat="1" applyFont="1" applyFill="1" applyAlignment="1">
      <alignment vertical="top"/>
    </xf>
    <xf numFmtId="3" fontId="1" fillId="0" borderId="0" xfId="0" applyNumberFormat="1" applyFont="1" applyFill="1" applyBorder="1" applyAlignment="1">
      <alignment horizontal="center" vertical="center"/>
    </xf>
    <xf numFmtId="168" fontId="52" fillId="0" borderId="0" xfId="43" applyNumberFormat="1" applyFont="1" applyFill="1" applyBorder="1" applyAlignment="1">
      <alignment vertical="top"/>
    </xf>
    <xf numFmtId="168" fontId="52" fillId="0" borderId="0" xfId="43" applyNumberFormat="1" applyFont="1" applyFill="1" applyBorder="1" applyAlignment="1">
      <alignment vertical="center"/>
    </xf>
    <xf numFmtId="4" fontId="52" fillId="0" borderId="0" xfId="44" applyNumberFormat="1" applyFont="1" applyFill="1" applyBorder="1" applyAlignment="1">
      <alignment vertical="top"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/>
    <xf numFmtId="0" fontId="1" fillId="0" borderId="0" xfId="0" applyFont="1" applyFill="1"/>
    <xf numFmtId="43" fontId="19" fillId="0" borderId="0" xfId="1" applyFont="1" applyFill="1" applyBorder="1" applyAlignment="1">
      <alignment horizontal="center" vertical="justify"/>
    </xf>
    <xf numFmtId="43" fontId="19" fillId="0" borderId="0" xfId="1" applyFont="1" applyFill="1" applyBorder="1" applyAlignment="1">
      <alignment horizontal="right" vertical="center"/>
    </xf>
    <xf numFmtId="0" fontId="1" fillId="0" borderId="0" xfId="53" applyFill="1" applyBorder="1" applyAlignment="1">
      <alignment horizontal="center"/>
    </xf>
    <xf numFmtId="0" fontId="1" fillId="0" borderId="0" xfId="53" applyFill="1"/>
    <xf numFmtId="0" fontId="1" fillId="0" borderId="0" xfId="53"/>
    <xf numFmtId="0" fontId="1" fillId="0" borderId="0" xfId="53" applyFill="1" applyAlignment="1">
      <alignment vertical="center"/>
    </xf>
    <xf numFmtId="0" fontId="63" fillId="0" borderId="102" xfId="20" applyFont="1" applyFill="1" applyBorder="1"/>
    <xf numFmtId="4" fontId="38" fillId="0" borderId="2" xfId="2" applyNumberFormat="1" applyFont="1" applyFill="1" applyBorder="1" applyAlignment="1">
      <alignment horizontal="center"/>
    </xf>
    <xf numFmtId="4" fontId="63" fillId="0" borderId="2" xfId="2" applyNumberFormat="1" applyFont="1" applyFill="1" applyBorder="1" applyAlignment="1">
      <alignment horizontal="center"/>
    </xf>
    <xf numFmtId="4" fontId="38" fillId="9" borderId="2" xfId="2" applyNumberFormat="1" applyFont="1" applyFill="1" applyBorder="1" applyAlignment="1">
      <alignment horizontal="center"/>
    </xf>
    <xf numFmtId="0" fontId="1" fillId="0" borderId="0" xfId="53" applyAlignment="1">
      <alignment vertical="center"/>
    </xf>
    <xf numFmtId="0" fontId="63" fillId="17" borderId="102" xfId="20" applyFont="1" applyFill="1" applyBorder="1"/>
    <xf numFmtId="4" fontId="38" fillId="17" borderId="2" xfId="2" applyNumberFormat="1" applyFont="1" applyFill="1" applyBorder="1" applyAlignment="1">
      <alignment horizontal="center"/>
    </xf>
    <xf numFmtId="4" fontId="63" fillId="17" borderId="2" xfId="2" applyNumberFormat="1" applyFont="1" applyFill="1" applyBorder="1" applyAlignment="1">
      <alignment horizontal="center"/>
    </xf>
    <xf numFmtId="0" fontId="1" fillId="0" borderId="0" xfId="53" applyFont="1" applyFill="1" applyAlignment="1">
      <alignment vertical="center"/>
    </xf>
    <xf numFmtId="0" fontId="64" fillId="0" borderId="0" xfId="53" applyFont="1" applyAlignment="1">
      <alignment vertical="center"/>
    </xf>
    <xf numFmtId="0" fontId="12" fillId="0" borderId="0" xfId="53" applyFont="1"/>
    <xf numFmtId="0" fontId="1" fillId="0" borderId="0" xfId="53" applyBorder="1"/>
    <xf numFmtId="0" fontId="35" fillId="0" borderId="0" xfId="17" applyBorder="1"/>
    <xf numFmtId="0" fontId="35" fillId="0" borderId="0" xfId="17"/>
    <xf numFmtId="0" fontId="15" fillId="0" borderId="50" xfId="42" applyFont="1" applyFill="1" applyBorder="1" applyAlignment="1">
      <alignment horizontal="center" vertical="center"/>
    </xf>
    <xf numFmtId="49" fontId="15" fillId="0" borderId="33" xfId="52" applyNumberFormat="1" applyFont="1" applyBorder="1" applyAlignment="1">
      <alignment vertical="center"/>
      <protection locked="0"/>
    </xf>
    <xf numFmtId="3" fontId="15" fillId="0" borderId="24" xfId="42" applyNumberFormat="1" applyFont="1" applyFill="1" applyBorder="1" applyAlignment="1">
      <alignment horizontal="center" vertical="center"/>
    </xf>
    <xf numFmtId="3" fontId="15" fillId="0" borderId="33" xfId="42" applyNumberFormat="1" applyFont="1" applyFill="1" applyBorder="1" applyAlignment="1">
      <alignment horizontal="center" vertical="center"/>
    </xf>
    <xf numFmtId="3" fontId="15" fillId="0" borderId="0" xfId="42" applyNumberFormat="1" applyFont="1" applyFill="1" applyBorder="1" applyAlignment="1">
      <alignment horizontal="center" vertical="center"/>
    </xf>
    <xf numFmtId="0" fontId="15" fillId="0" borderId="34" xfId="42" applyFont="1" applyFill="1" applyBorder="1" applyAlignment="1">
      <alignment horizontal="center" vertical="center"/>
    </xf>
    <xf numFmtId="49" fontId="15" fillId="0" borderId="31" xfId="42" applyNumberFormat="1" applyFont="1" applyBorder="1" applyAlignment="1" applyProtection="1">
      <alignment vertical="center"/>
      <protection locked="0"/>
    </xf>
    <xf numFmtId="3" fontId="15" fillId="0" borderId="31" xfId="42" applyNumberFormat="1" applyFont="1" applyFill="1" applyBorder="1" applyAlignment="1">
      <alignment horizontal="center" vertical="center"/>
    </xf>
    <xf numFmtId="0" fontId="15" fillId="20" borderId="34" xfId="42" applyFont="1" applyFill="1" applyBorder="1" applyAlignment="1">
      <alignment horizontal="center" vertical="center"/>
    </xf>
    <xf numFmtId="49" fontId="14" fillId="20" borderId="31" xfId="42" applyNumberFormat="1" applyFont="1" applyFill="1" applyBorder="1" applyAlignment="1" applyProtection="1">
      <alignment vertical="center"/>
      <protection locked="0"/>
    </xf>
    <xf numFmtId="3" fontId="14" fillId="20" borderId="31" xfId="42" applyNumberFormat="1" applyFont="1" applyFill="1" applyBorder="1" applyAlignment="1">
      <alignment horizontal="center" vertical="center"/>
    </xf>
    <xf numFmtId="3" fontId="9" fillId="20" borderId="31" xfId="42" applyNumberFormat="1" applyFont="1" applyFill="1" applyBorder="1" applyAlignment="1">
      <alignment horizontal="center" vertical="center"/>
    </xf>
    <xf numFmtId="3" fontId="9" fillId="0" borderId="0" xfId="42" applyNumberFormat="1" applyFont="1" applyFill="1" applyBorder="1" applyAlignment="1">
      <alignment horizontal="center" vertical="center"/>
    </xf>
    <xf numFmtId="49" fontId="15" fillId="0" borderId="31" xfId="42" applyNumberFormat="1" applyFont="1" applyBorder="1" applyAlignment="1">
      <alignment vertical="center"/>
    </xf>
    <xf numFmtId="0" fontId="14" fillId="6" borderId="34" xfId="42" applyFont="1" applyFill="1" applyBorder="1" applyAlignment="1">
      <alignment horizontal="center" vertical="center"/>
    </xf>
    <xf numFmtId="3" fontId="14" fillId="6" borderId="31" xfId="42" applyNumberFormat="1" applyFont="1" applyFill="1" applyBorder="1" applyAlignment="1">
      <alignment horizontal="center" vertical="center"/>
    </xf>
    <xf numFmtId="3" fontId="14" fillId="0" borderId="0" xfId="42" applyNumberFormat="1" applyFont="1" applyFill="1" applyBorder="1" applyAlignment="1">
      <alignment horizontal="center" vertical="center"/>
    </xf>
    <xf numFmtId="0" fontId="39" fillId="0" borderId="0" xfId="17" applyFont="1"/>
    <xf numFmtId="0" fontId="14" fillId="20" borderId="34" xfId="42" applyFont="1" applyFill="1" applyBorder="1" applyAlignment="1">
      <alignment horizontal="center" vertical="center"/>
    </xf>
    <xf numFmtId="0" fontId="15" fillId="0" borderId="34" xfId="42" applyFont="1" applyBorder="1" applyAlignment="1">
      <alignment horizontal="center" vertical="center"/>
    </xf>
    <xf numFmtId="3" fontId="10" fillId="0" borderId="31" xfId="42" applyNumberFormat="1" applyFont="1" applyFill="1" applyBorder="1" applyAlignment="1">
      <alignment horizontal="center" vertical="center"/>
    </xf>
    <xf numFmtId="0" fontId="14" fillId="20" borderId="34" xfId="42" applyFont="1" applyFill="1" applyBorder="1" applyAlignment="1" applyProtection="1">
      <alignment horizontal="center" vertical="center"/>
      <protection locked="0"/>
    </xf>
    <xf numFmtId="49" fontId="15" fillId="0" borderId="31" xfId="42" applyNumberFormat="1" applyFont="1" applyBorder="1" applyAlignment="1" applyProtection="1">
      <alignment horizontal="left" vertical="center"/>
      <protection locked="0"/>
    </xf>
    <xf numFmtId="3" fontId="10" fillId="0" borderId="0" xfId="42" applyNumberFormat="1" applyFont="1" applyFill="1" applyBorder="1" applyAlignment="1">
      <alignment horizontal="center" vertical="center"/>
    </xf>
    <xf numFmtId="49" fontId="15" fillId="0" borderId="31" xfId="42" applyNumberFormat="1" applyFont="1" applyFill="1" applyBorder="1" applyAlignment="1" applyProtection="1">
      <alignment horizontal="left" vertical="center"/>
      <protection locked="0"/>
    </xf>
    <xf numFmtId="0" fontId="35" fillId="0" borderId="0" xfId="17" applyFill="1"/>
    <xf numFmtId="49" fontId="14" fillId="20" borderId="31" xfId="42" applyNumberFormat="1" applyFont="1" applyFill="1" applyBorder="1" applyAlignment="1" applyProtection="1">
      <alignment horizontal="left" vertical="center"/>
      <protection locked="0"/>
    </xf>
    <xf numFmtId="0" fontId="14" fillId="20" borderId="47" xfId="42" applyFont="1" applyFill="1" applyBorder="1" applyAlignment="1">
      <alignment horizontal="center" vertical="center"/>
    </xf>
    <xf numFmtId="49" fontId="14" fillId="20" borderId="30" xfId="42" applyNumberFormat="1" applyFont="1" applyFill="1" applyBorder="1" applyAlignment="1" applyProtection="1">
      <alignment vertical="center"/>
      <protection locked="0"/>
    </xf>
    <xf numFmtId="3" fontId="14" fillId="20" borderId="30" xfId="42" applyNumberFormat="1" applyFont="1" applyFill="1" applyBorder="1" applyAlignment="1">
      <alignment horizontal="center" vertical="center"/>
    </xf>
    <xf numFmtId="0" fontId="14" fillId="2" borderId="45" xfId="42" applyFont="1" applyFill="1" applyBorder="1" applyAlignment="1">
      <alignment horizontal="center" vertical="center"/>
    </xf>
    <xf numFmtId="49" fontId="14" fillId="2" borderId="10" xfId="42" applyNumberFormat="1" applyFont="1" applyFill="1" applyBorder="1" applyAlignment="1">
      <alignment horizontal="center" vertical="center"/>
    </xf>
    <xf numFmtId="3" fontId="14" fillId="2" borderId="10" xfId="42" applyNumberFormat="1" applyFont="1" applyFill="1" applyBorder="1" applyAlignment="1">
      <alignment horizontal="center" vertical="center"/>
    </xf>
    <xf numFmtId="3" fontId="14" fillId="7" borderId="10" xfId="42" applyNumberFormat="1" applyFont="1" applyFill="1" applyBorder="1" applyAlignment="1">
      <alignment horizontal="center" vertical="center"/>
    </xf>
    <xf numFmtId="0" fontId="15" fillId="0" borderId="0" xfId="42" applyFont="1" applyBorder="1" applyAlignment="1">
      <alignment horizontal="center" vertical="center"/>
    </xf>
    <xf numFmtId="49" fontId="15" fillId="0" borderId="0" xfId="42" applyNumberFormat="1" applyFont="1" applyBorder="1" applyAlignment="1">
      <alignment horizontal="left" vertical="center"/>
    </xf>
    <xf numFmtId="3" fontId="63" fillId="0" borderId="0" xfId="42" applyNumberFormat="1" applyFont="1" applyFill="1" applyBorder="1" applyAlignment="1">
      <alignment horizontal="center" vertical="center"/>
    </xf>
    <xf numFmtId="0" fontId="15" fillId="0" borderId="25" xfId="42" applyFont="1" applyFill="1" applyBorder="1" applyAlignment="1">
      <alignment horizontal="center" vertical="center"/>
    </xf>
    <xf numFmtId="49" fontId="15" fillId="0" borderId="24" xfId="42" applyNumberFormat="1" applyFont="1" applyBorder="1" applyAlignment="1">
      <alignment horizontal="left" vertical="center"/>
    </xf>
    <xf numFmtId="3" fontId="63" fillId="0" borderId="24" xfId="42" applyNumberFormat="1" applyFont="1" applyFill="1" applyBorder="1" applyAlignment="1">
      <alignment horizontal="center" vertical="center"/>
    </xf>
    <xf numFmtId="3" fontId="15" fillId="0" borderId="24" xfId="42" applyNumberFormat="1" applyFont="1" applyBorder="1" applyAlignment="1">
      <alignment horizontal="center" vertical="center"/>
    </xf>
    <xf numFmtId="49" fontId="15" fillId="0" borderId="31" xfId="42" applyNumberFormat="1" applyFont="1" applyBorder="1" applyAlignment="1">
      <alignment horizontal="left" vertical="center"/>
    </xf>
    <xf numFmtId="3" fontId="63" fillId="0" borderId="31" xfId="42" applyNumberFormat="1" applyFont="1" applyFill="1" applyBorder="1" applyAlignment="1">
      <alignment horizontal="center" vertical="center"/>
    </xf>
    <xf numFmtId="3" fontId="15" fillId="0" borderId="31" xfId="42" applyNumberFormat="1" applyFont="1" applyBorder="1" applyAlignment="1">
      <alignment horizontal="center" vertical="center"/>
    </xf>
    <xf numFmtId="49" fontId="15" fillId="0" borderId="31" xfId="42" applyNumberFormat="1" applyFont="1" applyFill="1" applyBorder="1" applyAlignment="1">
      <alignment vertical="center"/>
    </xf>
    <xf numFmtId="49" fontId="14" fillId="6" borderId="31" xfId="42" applyNumberFormat="1" applyFont="1" applyFill="1" applyBorder="1" applyAlignment="1">
      <alignment vertical="center"/>
    </xf>
    <xf numFmtId="3" fontId="9" fillId="6" borderId="31" xfId="42" applyNumberFormat="1" applyFont="1" applyFill="1" applyBorder="1" applyAlignment="1">
      <alignment horizontal="center" vertical="center"/>
    </xf>
    <xf numFmtId="49" fontId="15" fillId="0" borderId="31" xfId="50" applyNumberFormat="1" applyFont="1" applyBorder="1" applyAlignment="1">
      <alignment vertical="center"/>
    </xf>
    <xf numFmtId="0" fontId="15" fillId="0" borderId="39" xfId="42" applyFont="1" applyBorder="1" applyAlignment="1">
      <alignment horizontal="center"/>
    </xf>
    <xf numFmtId="49" fontId="15" fillId="0" borderId="37" xfId="42" applyNumberFormat="1" applyFont="1" applyBorder="1"/>
    <xf numFmtId="3" fontId="63" fillId="0" borderId="37" xfId="42" applyNumberFormat="1" applyFont="1" applyFill="1" applyBorder="1" applyAlignment="1">
      <alignment horizontal="center" vertical="center"/>
    </xf>
    <xf numFmtId="3" fontId="15" fillId="0" borderId="37" xfId="42" applyNumberFormat="1" applyFont="1" applyBorder="1" applyAlignment="1">
      <alignment horizontal="center" vertical="center"/>
    </xf>
    <xf numFmtId="0" fontId="14" fillId="6" borderId="13" xfId="42" applyFont="1" applyFill="1" applyBorder="1" applyAlignment="1">
      <alignment horizontal="center" vertical="center"/>
    </xf>
    <xf numFmtId="49" fontId="14" fillId="6" borderId="10" xfId="42" applyNumberFormat="1" applyFont="1" applyFill="1" applyBorder="1" applyAlignment="1">
      <alignment vertical="center"/>
    </xf>
    <xf numFmtId="3" fontId="9" fillId="6" borderId="10" xfId="42" applyNumberFormat="1" applyFont="1" applyFill="1" applyBorder="1" applyAlignment="1">
      <alignment horizontal="center" vertical="center"/>
    </xf>
    <xf numFmtId="49" fontId="15" fillId="0" borderId="33" xfId="42" applyNumberFormat="1" applyFont="1" applyFill="1" applyBorder="1" applyAlignment="1">
      <alignment vertical="center"/>
    </xf>
    <xf numFmtId="3" fontId="10" fillId="0" borderId="33" xfId="42" applyNumberFormat="1" applyFont="1" applyFill="1" applyBorder="1" applyAlignment="1">
      <alignment horizontal="center" vertical="center"/>
    </xf>
    <xf numFmtId="3" fontId="10" fillId="0" borderId="24" xfId="42" applyNumberFormat="1" applyFont="1" applyFill="1" applyBorder="1" applyAlignment="1">
      <alignment horizontal="center" vertical="center"/>
    </xf>
    <xf numFmtId="0" fontId="35" fillId="0" borderId="17" xfId="17" applyBorder="1" applyAlignment="1">
      <alignment horizontal="center"/>
    </xf>
    <xf numFmtId="0" fontId="14" fillId="6" borderId="39" xfId="42" applyFont="1" applyFill="1" applyBorder="1" applyAlignment="1">
      <alignment horizontal="center" vertical="center"/>
    </xf>
    <xf numFmtId="49" fontId="14" fillId="6" borderId="37" xfId="42" applyNumberFormat="1" applyFont="1" applyFill="1" applyBorder="1" applyAlignment="1">
      <alignment vertical="center"/>
    </xf>
    <xf numFmtId="0" fontId="14" fillId="2" borderId="13" xfId="42" applyFont="1" applyFill="1" applyBorder="1" applyAlignment="1">
      <alignment horizontal="center" vertical="center"/>
    </xf>
    <xf numFmtId="3" fontId="35" fillId="0" borderId="0" xfId="17" applyNumberFormat="1"/>
    <xf numFmtId="0" fontId="15" fillId="0" borderId="25" xfId="42" applyFont="1" applyBorder="1" applyAlignment="1">
      <alignment horizontal="center" vertical="center"/>
    </xf>
    <xf numFmtId="49" fontId="14" fillId="9" borderId="24" xfId="42" applyNumberFormat="1" applyFont="1" applyFill="1" applyBorder="1" applyAlignment="1">
      <alignment vertical="center"/>
    </xf>
    <xf numFmtId="3" fontId="14" fillId="9" borderId="24" xfId="42" applyNumberFormat="1" applyFont="1" applyFill="1" applyBorder="1" applyAlignment="1">
      <alignment horizontal="center" vertical="center"/>
    </xf>
    <xf numFmtId="49" fontId="14" fillId="9" borderId="31" xfId="42" applyNumberFormat="1" applyFont="1" applyFill="1" applyBorder="1" applyAlignment="1">
      <alignment vertical="center"/>
    </xf>
    <xf numFmtId="3" fontId="14" fillId="9" borderId="31" xfId="42" applyNumberFormat="1" applyFont="1" applyFill="1" applyBorder="1" applyAlignment="1">
      <alignment horizontal="center" vertical="center"/>
    </xf>
    <xf numFmtId="0" fontId="40" fillId="0" borderId="0" xfId="17" applyFont="1"/>
    <xf numFmtId="49" fontId="15" fillId="0" borderId="24" xfId="42" applyNumberFormat="1" applyFont="1" applyBorder="1" applyAlignment="1">
      <alignment vertical="center"/>
    </xf>
    <xf numFmtId="3" fontId="14" fillId="21" borderId="31" xfId="42" applyNumberFormat="1" applyFont="1" applyFill="1" applyBorder="1" applyAlignment="1">
      <alignment horizontal="center" vertical="center"/>
    </xf>
    <xf numFmtId="3" fontId="9" fillId="21" borderId="31" xfId="42" applyNumberFormat="1" applyFont="1" applyFill="1" applyBorder="1" applyAlignment="1">
      <alignment horizontal="center" vertical="center"/>
    </xf>
    <xf numFmtId="49" fontId="15" fillId="0" borderId="31" xfId="42" applyNumberFormat="1" applyFont="1" applyBorder="1" applyAlignment="1">
      <alignment horizontal="left" vertical="center" wrapText="1"/>
    </xf>
    <xf numFmtId="3" fontId="14" fillId="2" borderId="22" xfId="42" applyNumberFormat="1" applyFont="1" applyFill="1" applyBorder="1" applyAlignment="1">
      <alignment horizontal="center" vertical="center"/>
    </xf>
    <xf numFmtId="0" fontId="14" fillId="0" borderId="0" xfId="42" applyFont="1" applyFill="1" applyBorder="1" applyAlignment="1">
      <alignment horizontal="center" vertical="center"/>
    </xf>
    <xf numFmtId="49" fontId="14" fillId="0" borderId="0" xfId="42" applyNumberFormat="1" applyFont="1" applyFill="1" applyBorder="1" applyAlignment="1">
      <alignment horizontal="center" vertical="center"/>
    </xf>
    <xf numFmtId="49" fontId="14" fillId="2" borderId="10" xfId="42" applyNumberFormat="1" applyFont="1" applyFill="1" applyBorder="1" applyAlignment="1">
      <alignment vertical="center"/>
    </xf>
    <xf numFmtId="0" fontId="15" fillId="0" borderId="47" xfId="42" applyFont="1" applyBorder="1" applyAlignment="1">
      <alignment horizontal="center" vertical="center"/>
    </xf>
    <xf numFmtId="49" fontId="15" fillId="0" borderId="30" xfId="42" applyNumberFormat="1" applyFont="1" applyBorder="1" applyAlignment="1">
      <alignment vertical="center"/>
    </xf>
    <xf numFmtId="3" fontId="15" fillId="0" borderId="30" xfId="42" applyNumberFormat="1" applyFont="1" applyBorder="1" applyAlignment="1">
      <alignment horizontal="center" vertical="center"/>
    </xf>
    <xf numFmtId="3" fontId="10" fillId="0" borderId="30" xfId="42" applyNumberFormat="1" applyFont="1" applyFill="1" applyBorder="1" applyAlignment="1">
      <alignment horizontal="center" vertical="center"/>
    </xf>
    <xf numFmtId="0" fontId="35" fillId="0" borderId="0" xfId="17" applyAlignment="1">
      <alignment horizontal="center"/>
    </xf>
    <xf numFmtId="3" fontId="14" fillId="22" borderId="10" xfId="42" applyNumberFormat="1" applyFont="1" applyFill="1" applyBorder="1" applyAlignment="1">
      <alignment horizontal="center" vertical="center"/>
    </xf>
    <xf numFmtId="0" fontId="15" fillId="20" borderId="55" xfId="42" applyFont="1" applyFill="1" applyBorder="1" applyAlignment="1">
      <alignment horizontal="center" vertical="center"/>
    </xf>
    <xf numFmtId="0" fontId="14" fillId="20" borderId="0" xfId="42" applyFont="1" applyFill="1" applyBorder="1" applyAlignment="1" applyProtection="1">
      <alignment vertical="center"/>
      <protection locked="0"/>
    </xf>
    <xf numFmtId="164" fontId="14" fillId="0" borderId="0" xfId="42" applyNumberFormat="1" applyFont="1" applyFill="1" applyBorder="1" applyAlignment="1">
      <alignment horizontal="center" vertical="center"/>
    </xf>
    <xf numFmtId="0" fontId="14" fillId="6" borderId="55" xfId="42" applyFont="1" applyFill="1" applyBorder="1" applyAlignment="1">
      <alignment horizontal="center" vertical="center"/>
    </xf>
    <xf numFmtId="0" fontId="14" fillId="6" borderId="0" xfId="42" applyFont="1" applyFill="1" applyBorder="1" applyAlignment="1" applyProtection="1">
      <alignment vertical="center"/>
      <protection locked="0"/>
    </xf>
    <xf numFmtId="164" fontId="14" fillId="0" borderId="0" xfId="42" applyNumberFormat="1" applyFont="1" applyFill="1" applyBorder="1" applyAlignment="1" applyProtection="1">
      <alignment horizontal="center" vertical="center"/>
      <protection locked="0"/>
    </xf>
    <xf numFmtId="0" fontId="14" fillId="20" borderId="55" xfId="42" applyFont="1" applyFill="1" applyBorder="1" applyAlignment="1">
      <alignment horizontal="center" vertical="center"/>
    </xf>
    <xf numFmtId="3" fontId="14" fillId="0" borderId="0" xfId="42" applyNumberFormat="1" applyFont="1" applyFill="1" applyBorder="1" applyAlignment="1" applyProtection="1">
      <alignment horizontal="center" vertical="center"/>
      <protection locked="0"/>
    </xf>
    <xf numFmtId="0" fontId="14" fillId="20" borderId="55" xfId="42" applyFont="1" applyFill="1" applyBorder="1" applyAlignment="1" applyProtection="1">
      <alignment horizontal="center" vertical="center"/>
      <protection locked="0"/>
    </xf>
    <xf numFmtId="0" fontId="14" fillId="20" borderId="0" xfId="42" applyFont="1" applyFill="1" applyBorder="1" applyAlignment="1" applyProtection="1">
      <alignment horizontal="left" vertical="center"/>
      <protection locked="0"/>
    </xf>
    <xf numFmtId="0" fontId="37" fillId="0" borderId="0" xfId="13" applyBorder="1"/>
    <xf numFmtId="0" fontId="37" fillId="0" borderId="0" xfId="13" applyFill="1" applyBorder="1"/>
    <xf numFmtId="3" fontId="37" fillId="0" borderId="0" xfId="13" applyNumberFormat="1" applyFill="1" applyBorder="1"/>
    <xf numFmtId="0" fontId="14" fillId="2" borderId="67" xfId="42" applyFont="1" applyFill="1" applyBorder="1" applyAlignment="1">
      <alignment horizontal="center" vertical="center"/>
    </xf>
    <xf numFmtId="0" fontId="14" fillId="2" borderId="0" xfId="42" applyFont="1" applyFill="1" applyBorder="1" applyAlignment="1">
      <alignment horizontal="center" vertical="center"/>
    </xf>
    <xf numFmtId="0" fontId="14" fillId="2" borderId="0" xfId="42" applyFont="1" applyFill="1" applyBorder="1" applyAlignment="1" applyProtection="1">
      <alignment horizontal="center" vertical="center"/>
      <protection locked="0"/>
    </xf>
    <xf numFmtId="43" fontId="68" fillId="0" borderId="0" xfId="55" applyFont="1"/>
    <xf numFmtId="0" fontId="63" fillId="0" borderId="0" xfId="13" applyFont="1" applyAlignment="1">
      <alignment horizontal="center"/>
    </xf>
    <xf numFmtId="43" fontId="0" fillId="0" borderId="0" xfId="55" applyFont="1"/>
    <xf numFmtId="0" fontId="36" fillId="0" borderId="0" xfId="35" applyFont="1" applyFill="1" applyAlignment="1">
      <alignment vertical="center"/>
    </xf>
    <xf numFmtId="0" fontId="69" fillId="0" borderId="0" xfId="35" applyFont="1" applyFill="1" applyAlignment="1">
      <alignment vertical="center"/>
    </xf>
    <xf numFmtId="49" fontId="70" fillId="0" borderId="0" xfId="35" applyNumberFormat="1" applyFont="1" applyFill="1" applyAlignment="1">
      <alignment vertical="center"/>
    </xf>
    <xf numFmtId="0" fontId="36" fillId="0" borderId="0" xfId="35" applyFont="1" applyFill="1" applyAlignment="1">
      <alignment horizontal="center" vertical="center"/>
    </xf>
    <xf numFmtId="0" fontId="38" fillId="0" borderId="0" xfId="13" applyFont="1" applyAlignment="1">
      <alignment horizontal="center"/>
    </xf>
    <xf numFmtId="0" fontId="71" fillId="0" borderId="4" xfId="35" applyFont="1" applyBorder="1" applyAlignment="1">
      <alignment horizontal="center" vertical="center" wrapText="1"/>
    </xf>
    <xf numFmtId="0" fontId="71" fillId="0" borderId="110" xfId="35" applyFont="1" applyBorder="1" applyAlignment="1">
      <alignment horizontal="center" vertical="center" wrapText="1"/>
    </xf>
    <xf numFmtId="0" fontId="72" fillId="0" borderId="4" xfId="35" applyFont="1" applyFill="1" applyBorder="1" applyAlignment="1">
      <alignment horizontal="center" vertical="center" wrapText="1"/>
    </xf>
    <xf numFmtId="0" fontId="71" fillId="9" borderId="4" xfId="35" applyFont="1" applyFill="1" applyBorder="1" applyAlignment="1">
      <alignment horizontal="center" vertical="center" wrapText="1"/>
    </xf>
    <xf numFmtId="0" fontId="71" fillId="0" borderId="62" xfId="35" applyFont="1" applyBorder="1" applyAlignment="1">
      <alignment horizontal="center" vertical="center" wrapText="1"/>
    </xf>
    <xf numFmtId="0" fontId="73" fillId="0" borderId="43" xfId="35" applyFont="1" applyBorder="1" applyAlignment="1">
      <alignment horizontal="center" vertical="center"/>
    </xf>
    <xf numFmtId="3" fontId="73" fillId="0" borderId="43" xfId="35" applyNumberFormat="1" applyFont="1" applyBorder="1" applyAlignment="1">
      <alignment vertical="center"/>
    </xf>
    <xf numFmtId="3" fontId="73" fillId="0" borderId="4" xfId="35" applyNumberFormat="1" applyFont="1" applyBorder="1" applyAlignment="1">
      <alignment vertical="center"/>
    </xf>
    <xf numFmtId="3" fontId="73" fillId="0" borderId="4" xfId="35" applyNumberFormat="1" applyFont="1" applyFill="1" applyBorder="1" applyAlignment="1">
      <alignment vertical="center"/>
    </xf>
    <xf numFmtId="3" fontId="73" fillId="0" borderId="114" xfId="35" applyNumberFormat="1" applyFont="1" applyFill="1" applyBorder="1" applyAlignment="1">
      <alignment vertical="center"/>
    </xf>
    <xf numFmtId="3" fontId="73" fillId="0" borderId="110" xfId="35" applyNumberFormat="1" applyFont="1" applyBorder="1" applyAlignment="1">
      <alignment vertical="center"/>
    </xf>
    <xf numFmtId="3" fontId="73" fillId="0" borderId="62" xfId="35" applyNumberFormat="1" applyFont="1" applyBorder="1" applyAlignment="1">
      <alignment vertical="center"/>
    </xf>
    <xf numFmtId="0" fontId="74" fillId="0" borderId="0" xfId="13" applyFont="1"/>
    <xf numFmtId="43" fontId="74" fillId="0" borderId="0" xfId="55" applyFont="1"/>
    <xf numFmtId="3" fontId="75" fillId="0" borderId="0" xfId="35" applyNumberFormat="1" applyFont="1" applyBorder="1" applyAlignment="1">
      <alignment vertical="center"/>
    </xf>
    <xf numFmtId="164" fontId="75" fillId="0" borderId="0" xfId="35" applyNumberFormat="1" applyFont="1" applyFill="1" applyBorder="1" applyAlignment="1">
      <alignment vertical="center"/>
    </xf>
    <xf numFmtId="3" fontId="75" fillId="0" borderId="0" xfId="35" applyNumberFormat="1" applyFont="1" applyFill="1" applyBorder="1" applyAlignment="1">
      <alignment vertical="center"/>
    </xf>
    <xf numFmtId="3" fontId="75" fillId="0" borderId="0" xfId="35" applyNumberFormat="1" applyFont="1" applyFill="1" applyBorder="1" applyAlignment="1">
      <alignment horizontal="center" vertical="center"/>
    </xf>
    <xf numFmtId="3" fontId="75" fillId="0" borderId="117" xfId="35" applyNumberFormat="1" applyFont="1" applyFill="1" applyBorder="1" applyAlignment="1">
      <alignment vertical="center"/>
    </xf>
    <xf numFmtId="3" fontId="75" fillId="0" borderId="117" xfId="35" applyNumberFormat="1" applyFont="1" applyBorder="1" applyAlignment="1">
      <alignment vertical="center"/>
    </xf>
    <xf numFmtId="3" fontId="75" fillId="0" borderId="118" xfId="35" applyNumberFormat="1" applyFont="1" applyBorder="1" applyAlignment="1">
      <alignment vertical="center"/>
    </xf>
    <xf numFmtId="0" fontId="76" fillId="0" borderId="99" xfId="35" applyFont="1" applyBorder="1" applyAlignment="1">
      <alignment horizontal="center" vertical="center"/>
    </xf>
    <xf numFmtId="0" fontId="77" fillId="0" borderId="100" xfId="35" applyFont="1" applyBorder="1" applyAlignment="1">
      <alignment horizontal="center" vertical="center"/>
    </xf>
    <xf numFmtId="49" fontId="76" fillId="0" borderId="100" xfId="35" applyNumberFormat="1" applyFont="1" applyBorder="1" applyAlignment="1">
      <alignment vertical="center"/>
    </xf>
    <xf numFmtId="3" fontId="76" fillId="0" borderId="100" xfId="35" applyNumberFormat="1" applyFont="1" applyBorder="1" applyAlignment="1">
      <alignment vertical="center"/>
    </xf>
    <xf numFmtId="3" fontId="76" fillId="0" borderId="100" xfId="35" applyNumberFormat="1" applyFont="1" applyFill="1" applyBorder="1" applyAlignment="1">
      <alignment vertical="center"/>
    </xf>
    <xf numFmtId="3" fontId="76" fillId="0" borderId="119" xfId="35" applyNumberFormat="1" applyFont="1" applyFill="1" applyBorder="1" applyAlignment="1">
      <alignment vertical="center"/>
    </xf>
    <xf numFmtId="0" fontId="76" fillId="0" borderId="102" xfId="35" applyFont="1" applyBorder="1" applyAlignment="1">
      <alignment horizontal="center" vertical="center"/>
    </xf>
    <xf numFmtId="0" fontId="77" fillId="0" borderId="2" xfId="35" applyFont="1" applyBorder="1" applyAlignment="1">
      <alignment horizontal="center" vertical="center"/>
    </xf>
    <xf numFmtId="49" fontId="76" fillId="0" borderId="2" xfId="35" applyNumberFormat="1" applyFont="1" applyBorder="1" applyAlignment="1">
      <alignment vertical="center"/>
    </xf>
    <xf numFmtId="3" fontId="76" fillId="0" borderId="2" xfId="35" applyNumberFormat="1" applyFont="1" applyBorder="1" applyAlignment="1">
      <alignment vertical="center"/>
    </xf>
    <xf numFmtId="3" fontId="76" fillId="0" borderId="2" xfId="35" applyNumberFormat="1" applyFont="1" applyFill="1" applyBorder="1" applyAlignment="1">
      <alignment vertical="center"/>
    </xf>
    <xf numFmtId="3" fontId="76" fillId="0" borderId="103" xfId="35" applyNumberFormat="1" applyFont="1" applyFill="1" applyBorder="1" applyAlignment="1">
      <alignment vertical="center"/>
    </xf>
    <xf numFmtId="0" fontId="78" fillId="0" borderId="102" xfId="35" applyFont="1" applyBorder="1" applyAlignment="1">
      <alignment horizontal="center" vertical="center"/>
    </xf>
    <xf numFmtId="49" fontId="78" fillId="0" borderId="2" xfId="35" applyNumberFormat="1" applyFont="1" applyBorder="1" applyAlignment="1">
      <alignment horizontal="center" vertical="center"/>
    </xf>
    <xf numFmtId="49" fontId="79" fillId="0" borderId="2" xfId="35" applyNumberFormat="1" applyFont="1" applyBorder="1" applyAlignment="1">
      <alignment vertical="center"/>
    </xf>
    <xf numFmtId="3" fontId="78" fillId="0" borderId="2" xfId="35" applyNumberFormat="1" applyFont="1" applyBorder="1" applyAlignment="1">
      <alignment vertical="center"/>
    </xf>
    <xf numFmtId="3" fontId="80" fillId="0" borderId="2" xfId="35" applyNumberFormat="1" applyFont="1" applyFill="1" applyBorder="1" applyAlignment="1">
      <alignment vertical="center"/>
    </xf>
    <xf numFmtId="3" fontId="78" fillId="0" borderId="2" xfId="35" applyNumberFormat="1" applyFont="1" applyFill="1" applyBorder="1" applyAlignment="1">
      <alignment vertical="center"/>
    </xf>
    <xf numFmtId="3" fontId="78" fillId="0" borderId="120" xfId="35" applyNumberFormat="1" applyFont="1" applyFill="1" applyBorder="1" applyAlignment="1">
      <alignment vertical="center"/>
    </xf>
    <xf numFmtId="3" fontId="76" fillId="0" borderId="120" xfId="35" applyNumberFormat="1" applyFont="1" applyFill="1" applyBorder="1" applyAlignment="1">
      <alignment vertical="center"/>
    </xf>
    <xf numFmtId="0" fontId="77" fillId="0" borderId="102" xfId="35" applyFont="1" applyBorder="1" applyAlignment="1">
      <alignment horizontal="center" vertical="center"/>
    </xf>
    <xf numFmtId="0" fontId="79" fillId="0" borderId="2" xfId="35" applyFont="1" applyBorder="1" applyAlignment="1">
      <alignment horizontal="center" vertical="center"/>
    </xf>
    <xf numFmtId="3" fontId="79" fillId="0" borderId="2" xfId="35" applyNumberFormat="1" applyFont="1" applyBorder="1" applyAlignment="1">
      <alignment vertical="center"/>
    </xf>
    <xf numFmtId="3" fontId="79" fillId="0" borderId="2" xfId="35" applyNumberFormat="1" applyFont="1" applyFill="1" applyBorder="1" applyAlignment="1">
      <alignment vertical="center"/>
    </xf>
    <xf numFmtId="3" fontId="79" fillId="0" borderId="2" xfId="35" applyNumberFormat="1" applyFont="1" applyFill="1" applyBorder="1" applyAlignment="1">
      <alignment horizontal="right" vertical="center"/>
    </xf>
    <xf numFmtId="3" fontId="79" fillId="0" borderId="120" xfId="35" applyNumberFormat="1" applyFont="1" applyFill="1" applyBorder="1" applyAlignment="1">
      <alignment horizontal="right" vertical="center"/>
    </xf>
    <xf numFmtId="0" fontId="77" fillId="0" borderId="102" xfId="35" applyFont="1" applyFill="1" applyBorder="1" applyAlignment="1">
      <alignment horizontal="center" vertical="center"/>
    </xf>
    <xf numFmtId="0" fontId="79" fillId="0" borderId="2" xfId="35" applyFont="1" applyFill="1" applyBorder="1" applyAlignment="1">
      <alignment horizontal="center" vertical="center"/>
    </xf>
    <xf numFmtId="49" fontId="79" fillId="0" borderId="2" xfId="35" applyNumberFormat="1" applyFont="1" applyFill="1" applyBorder="1" applyAlignment="1">
      <alignment vertical="center"/>
    </xf>
    <xf numFmtId="3" fontId="79" fillId="0" borderId="120" xfId="35" applyNumberFormat="1" applyFont="1" applyFill="1" applyBorder="1" applyAlignment="1">
      <alignment vertical="center"/>
    </xf>
    <xf numFmtId="0" fontId="73" fillId="0" borderId="102" xfId="35" applyFont="1" applyFill="1" applyBorder="1" applyAlignment="1">
      <alignment horizontal="center" vertical="center"/>
    </xf>
    <xf numFmtId="0" fontId="72" fillId="0" borderId="2" xfId="35" applyFont="1" applyFill="1" applyBorder="1" applyAlignment="1">
      <alignment horizontal="center" vertical="center"/>
    </xf>
    <xf numFmtId="49" fontId="81" fillId="0" borderId="2" xfId="35" applyNumberFormat="1" applyFont="1" applyFill="1" applyBorder="1" applyAlignment="1">
      <alignment vertical="center"/>
    </xf>
    <xf numFmtId="3" fontId="81" fillId="0" borderId="2" xfId="35" applyNumberFormat="1" applyFont="1" applyFill="1" applyBorder="1" applyAlignment="1">
      <alignment vertical="center"/>
    </xf>
    <xf numFmtId="3" fontId="81" fillId="0" borderId="120" xfId="35" applyNumberFormat="1" applyFont="1" applyFill="1" applyBorder="1" applyAlignment="1">
      <alignment vertical="center"/>
    </xf>
    <xf numFmtId="3" fontId="63" fillId="0" borderId="0" xfId="13" applyNumberFormat="1" applyFont="1" applyAlignment="1">
      <alignment horizontal="center"/>
    </xf>
    <xf numFmtId="0" fontId="48" fillId="0" borderId="102" xfId="35" applyFont="1" applyFill="1" applyBorder="1" applyAlignment="1">
      <alignment horizontal="center" vertical="center"/>
    </xf>
    <xf numFmtId="0" fontId="77" fillId="0" borderId="2" xfId="35" applyFont="1" applyFill="1" applyBorder="1" applyAlignment="1">
      <alignment horizontal="center" vertical="center"/>
    </xf>
    <xf numFmtId="49" fontId="76" fillId="0" borderId="2" xfId="35" applyNumberFormat="1" applyFont="1" applyFill="1" applyBorder="1" applyAlignment="1">
      <alignment vertical="center"/>
    </xf>
    <xf numFmtId="0" fontId="46" fillId="0" borderId="102" xfId="35" applyFont="1" applyFill="1" applyBorder="1" applyAlignment="1">
      <alignment horizontal="center" vertical="center"/>
    </xf>
    <xf numFmtId="0" fontId="76" fillId="0" borderId="106" xfId="35" applyFont="1" applyFill="1" applyBorder="1" applyAlignment="1">
      <alignment horizontal="center" vertical="center"/>
    </xf>
    <xf numFmtId="0" fontId="76" fillId="0" borderId="107" xfId="35" applyFont="1" applyFill="1" applyBorder="1" applyAlignment="1">
      <alignment horizontal="center" vertical="center"/>
    </xf>
    <xf numFmtId="49" fontId="76" fillId="0" borderId="107" xfId="35" applyNumberFormat="1" applyFont="1" applyFill="1" applyBorder="1" applyAlignment="1">
      <alignment vertical="center"/>
    </xf>
    <xf numFmtId="3" fontId="76" fillId="0" borderId="107" xfId="35" applyNumberFormat="1" applyFont="1" applyFill="1" applyBorder="1" applyAlignment="1">
      <alignment vertical="center"/>
    </xf>
    <xf numFmtId="3" fontId="76" fillId="0" borderId="108" xfId="35" applyNumberFormat="1" applyFont="1" applyFill="1" applyBorder="1" applyAlignment="1">
      <alignment vertical="center"/>
    </xf>
    <xf numFmtId="0" fontId="73" fillId="7" borderId="121" xfId="35" applyFont="1" applyFill="1" applyBorder="1" applyAlignment="1">
      <alignment horizontal="center" vertical="center"/>
    </xf>
    <xf numFmtId="0" fontId="73" fillId="7" borderId="122" xfId="35" applyFont="1" applyFill="1" applyBorder="1" applyAlignment="1">
      <alignment horizontal="center" vertical="center"/>
    </xf>
    <xf numFmtId="49" fontId="73" fillId="7" borderId="122" xfId="35" applyNumberFormat="1" applyFont="1" applyFill="1" applyBorder="1" applyAlignment="1">
      <alignment vertical="center"/>
    </xf>
    <xf numFmtId="3" fontId="73" fillId="7" borderId="122" xfId="35" applyNumberFormat="1" applyFont="1" applyFill="1" applyBorder="1" applyAlignment="1">
      <alignment vertical="center"/>
    </xf>
    <xf numFmtId="3" fontId="73" fillId="7" borderId="122" xfId="35" applyNumberFormat="1" applyFont="1" applyFill="1" applyBorder="1" applyAlignment="1">
      <alignment horizontal="center" vertical="center"/>
    </xf>
    <xf numFmtId="3" fontId="73" fillId="7" borderId="123" xfId="35" applyNumberFormat="1" applyFont="1" applyFill="1" applyBorder="1" applyAlignment="1">
      <alignment horizontal="center" vertical="center"/>
    </xf>
    <xf numFmtId="3" fontId="73" fillId="7" borderId="123" xfId="35" applyNumberFormat="1" applyFont="1" applyFill="1" applyBorder="1" applyAlignment="1">
      <alignment horizontal="right" vertical="center"/>
    </xf>
    <xf numFmtId="3" fontId="73" fillId="7" borderId="122" xfId="35" applyNumberFormat="1" applyFont="1" applyFill="1" applyBorder="1" applyAlignment="1">
      <alignment horizontal="right" vertical="center"/>
    </xf>
    <xf numFmtId="3" fontId="73" fillId="7" borderId="124" xfId="35" applyNumberFormat="1" applyFont="1" applyFill="1" applyBorder="1" applyAlignment="1">
      <alignment horizontal="right" vertical="center"/>
    </xf>
    <xf numFmtId="3" fontId="73" fillId="0" borderId="117" xfId="35" applyNumberFormat="1" applyFont="1" applyFill="1" applyBorder="1" applyAlignment="1">
      <alignment horizontal="center" vertical="center" wrapText="1"/>
    </xf>
    <xf numFmtId="3" fontId="75" fillId="0" borderId="117" xfId="35" applyNumberFormat="1" applyFont="1" applyFill="1" applyBorder="1" applyAlignment="1">
      <alignment horizontal="center" vertical="center"/>
    </xf>
    <xf numFmtId="3" fontId="75" fillId="0" borderId="125" xfId="35" applyNumberFormat="1" applyFont="1" applyBorder="1" applyAlignment="1">
      <alignment vertical="center"/>
    </xf>
    <xf numFmtId="49" fontId="82" fillId="0" borderId="100" xfId="35" applyNumberFormat="1" applyFont="1" applyBorder="1" applyAlignment="1">
      <alignment vertical="center"/>
    </xf>
    <xf numFmtId="3" fontId="76" fillId="0" borderId="100" xfId="35" applyNumberFormat="1" applyFont="1" applyFill="1" applyBorder="1" applyAlignment="1">
      <alignment horizontal="center" vertical="center"/>
    </xf>
    <xf numFmtId="3" fontId="82" fillId="0" borderId="100" xfId="35" applyNumberFormat="1" applyFont="1" applyFill="1" applyBorder="1" applyAlignment="1">
      <alignment vertical="center"/>
    </xf>
    <xf numFmtId="3" fontId="82" fillId="0" borderId="119" xfId="35" applyNumberFormat="1" applyFont="1" applyFill="1" applyBorder="1" applyAlignment="1">
      <alignment vertical="center"/>
    </xf>
    <xf numFmtId="49" fontId="79" fillId="12" borderId="2" xfId="35" applyNumberFormat="1" applyFont="1" applyFill="1" applyBorder="1" applyAlignment="1">
      <alignment vertical="center"/>
    </xf>
    <xf numFmtId="3" fontId="79" fillId="12" borderId="2" xfId="35" applyNumberFormat="1" applyFont="1" applyFill="1" applyBorder="1" applyAlignment="1">
      <alignment vertical="center"/>
    </xf>
    <xf numFmtId="3" fontId="79" fillId="0" borderId="2" xfId="35" applyNumberFormat="1" applyFont="1" applyFill="1" applyBorder="1" applyAlignment="1">
      <alignment horizontal="center" vertical="center"/>
    </xf>
    <xf numFmtId="3" fontId="79" fillId="12" borderId="120" xfId="35" applyNumberFormat="1" applyFont="1" applyFill="1" applyBorder="1" applyAlignment="1">
      <alignment vertical="center"/>
    </xf>
    <xf numFmtId="49" fontId="82" fillId="0" borderId="2" xfId="35" applyNumberFormat="1" applyFont="1" applyBorder="1" applyAlignment="1">
      <alignment vertical="center"/>
    </xf>
    <xf numFmtId="3" fontId="82" fillId="0" borderId="2" xfId="35" applyNumberFormat="1" applyFont="1" applyFill="1" applyBorder="1" applyAlignment="1">
      <alignment vertical="center"/>
    </xf>
    <xf numFmtId="3" fontId="82" fillId="0" borderId="2" xfId="35" applyNumberFormat="1" applyFont="1" applyFill="1" applyBorder="1" applyAlignment="1">
      <alignment horizontal="center" vertical="center"/>
    </xf>
    <xf numFmtId="3" fontId="82" fillId="0" borderId="2" xfId="30" applyNumberFormat="1" applyFont="1" applyFill="1" applyBorder="1" applyAlignment="1">
      <alignment vertical="center"/>
    </xf>
    <xf numFmtId="3" fontId="82" fillId="0" borderId="103" xfId="35" applyNumberFormat="1" applyFont="1" applyFill="1" applyBorder="1" applyAlignment="1">
      <alignment vertical="center"/>
    </xf>
    <xf numFmtId="0" fontId="48" fillId="0" borderId="102" xfId="35" applyFont="1" applyBorder="1" applyAlignment="1">
      <alignment horizontal="center" vertical="center"/>
    </xf>
    <xf numFmtId="49" fontId="48" fillId="0" borderId="2" xfId="35" applyNumberFormat="1" applyFont="1" applyBorder="1" applyAlignment="1">
      <alignment vertical="center" wrapText="1"/>
    </xf>
    <xf numFmtId="3" fontId="48" fillId="0" borderId="2" xfId="35" applyNumberFormat="1" applyFont="1" applyBorder="1" applyAlignment="1">
      <alignment vertical="center"/>
    </xf>
    <xf numFmtId="3" fontId="48" fillId="0" borderId="2" xfId="35" applyNumberFormat="1" applyFont="1" applyFill="1" applyBorder="1" applyAlignment="1">
      <alignment vertical="center"/>
    </xf>
    <xf numFmtId="3" fontId="48" fillId="0" borderId="2" xfId="35" applyNumberFormat="1" applyFont="1" applyFill="1" applyBorder="1" applyAlignment="1">
      <alignment horizontal="center" vertical="center"/>
    </xf>
    <xf numFmtId="3" fontId="48" fillId="0" borderId="120" xfId="35" applyNumberFormat="1" applyFont="1" applyFill="1" applyBorder="1" applyAlignment="1">
      <alignment vertical="center"/>
    </xf>
    <xf numFmtId="49" fontId="78" fillId="0" borderId="2" xfId="35" applyNumberFormat="1" applyFont="1" applyBorder="1" applyAlignment="1">
      <alignment vertical="center"/>
    </xf>
    <xf numFmtId="3" fontId="78" fillId="12" borderId="2" xfId="35" applyNumberFormat="1" applyFont="1" applyFill="1" applyBorder="1" applyAlignment="1">
      <alignment vertical="center"/>
    </xf>
    <xf numFmtId="3" fontId="78" fillId="0" borderId="2" xfId="35" applyNumberFormat="1" applyFont="1" applyFill="1" applyBorder="1" applyAlignment="1">
      <alignment horizontal="center" vertical="center"/>
    </xf>
    <xf numFmtId="0" fontId="63" fillId="0" borderId="2" xfId="35" applyFont="1" applyFill="1" applyBorder="1" applyAlignment="1">
      <alignment vertical="center"/>
    </xf>
    <xf numFmtId="3" fontId="78" fillId="0" borderId="120" xfId="35" applyNumberFormat="1" applyFont="1" applyBorder="1" applyAlignment="1">
      <alignment vertical="center"/>
    </xf>
    <xf numFmtId="3" fontId="84" fillId="11" borderId="2" xfId="35" applyNumberFormat="1" applyFont="1" applyFill="1" applyBorder="1" applyAlignment="1">
      <alignment vertical="center"/>
    </xf>
    <xf numFmtId="3" fontId="84" fillId="0" borderId="2" xfId="35" applyNumberFormat="1" applyFont="1" applyFill="1" applyBorder="1" applyAlignment="1">
      <alignment horizontal="center" vertical="center"/>
    </xf>
    <xf numFmtId="4" fontId="84" fillId="0" borderId="2" xfId="35" applyNumberFormat="1" applyFont="1" applyFill="1" applyBorder="1" applyAlignment="1">
      <alignment vertical="center"/>
    </xf>
    <xf numFmtId="3" fontId="81" fillId="0" borderId="2" xfId="35" applyNumberFormat="1" applyFont="1" applyFill="1" applyBorder="1" applyAlignment="1">
      <alignment horizontal="center" vertical="center"/>
    </xf>
    <xf numFmtId="0" fontId="76" fillId="0" borderId="102" xfId="35" applyFont="1" applyFill="1" applyBorder="1" applyAlignment="1">
      <alignment horizontal="center" vertical="center"/>
    </xf>
    <xf numFmtId="0" fontId="76" fillId="0" borderId="2" xfId="35" applyFont="1" applyFill="1" applyBorder="1" applyAlignment="1">
      <alignment horizontal="center" vertical="center"/>
    </xf>
    <xf numFmtId="3" fontId="76" fillId="0" borderId="2" xfId="35" applyNumberFormat="1" applyFont="1" applyFill="1" applyBorder="1" applyAlignment="1">
      <alignment horizontal="center" vertical="center"/>
    </xf>
    <xf numFmtId="49" fontId="76" fillId="12" borderId="2" xfId="35" applyNumberFormat="1" applyFont="1" applyFill="1" applyBorder="1" applyAlignment="1">
      <alignment vertical="center"/>
    </xf>
    <xf numFmtId="3" fontId="76" fillId="12" borderId="2" xfId="35" applyNumberFormat="1" applyFont="1" applyFill="1" applyBorder="1" applyAlignment="1">
      <alignment horizontal="right" vertical="center"/>
    </xf>
    <xf numFmtId="3" fontId="76" fillId="0" borderId="2" xfId="35" applyNumberFormat="1" applyFont="1" applyFill="1" applyBorder="1" applyAlignment="1">
      <alignment horizontal="right" vertical="center"/>
    </xf>
    <xf numFmtId="3" fontId="76" fillId="12" borderId="120" xfId="35" applyNumberFormat="1" applyFont="1" applyFill="1" applyBorder="1" applyAlignment="1">
      <alignment horizontal="right" vertical="center"/>
    </xf>
    <xf numFmtId="0" fontId="46" fillId="0" borderId="106" xfId="35" applyFont="1" applyBorder="1" applyAlignment="1">
      <alignment horizontal="center" vertical="center"/>
    </xf>
    <xf numFmtId="0" fontId="72" fillId="0" borderId="107" xfId="35" applyFont="1" applyBorder="1" applyAlignment="1">
      <alignment horizontal="center" vertical="center"/>
    </xf>
    <xf numFmtId="49" fontId="82" fillId="0" borderId="107" xfId="35" applyNumberFormat="1" applyFont="1" applyBorder="1" applyAlignment="1">
      <alignment vertical="center"/>
    </xf>
    <xf numFmtId="3" fontId="82" fillId="0" borderId="107" xfId="35" applyNumberFormat="1" applyFont="1" applyBorder="1" applyAlignment="1">
      <alignment vertical="center"/>
    </xf>
    <xf numFmtId="3" fontId="82" fillId="0" borderId="107" xfId="35" applyNumberFormat="1" applyFont="1" applyFill="1" applyBorder="1" applyAlignment="1">
      <alignment vertical="center"/>
    </xf>
    <xf numFmtId="3" fontId="82" fillId="0" borderId="107" xfId="35" applyNumberFormat="1" applyFont="1" applyFill="1" applyBorder="1" applyAlignment="1">
      <alignment horizontal="center" vertical="center"/>
    </xf>
    <xf numFmtId="3" fontId="82" fillId="0" borderId="126" xfId="35" applyNumberFormat="1" applyFont="1" applyBorder="1" applyAlignment="1">
      <alignment vertical="center"/>
    </xf>
    <xf numFmtId="0" fontId="73" fillId="7" borderId="43" xfId="35" applyFont="1" applyFill="1" applyBorder="1" applyAlignment="1">
      <alignment horizontal="center" vertical="center"/>
    </xf>
    <xf numFmtId="0" fontId="73" fillId="7" borderId="4" xfId="35" applyFont="1" applyFill="1" applyBorder="1" applyAlignment="1">
      <alignment horizontal="center" vertical="center"/>
    </xf>
    <xf numFmtId="49" fontId="73" fillId="7" borderId="123" xfId="35" applyNumberFormat="1" applyFont="1" applyFill="1" applyBorder="1" applyAlignment="1">
      <alignment vertical="center"/>
    </xf>
    <xf numFmtId="3" fontId="73" fillId="7" borderId="124" xfId="35" applyNumberFormat="1" applyFont="1" applyFill="1" applyBorder="1" applyAlignment="1">
      <alignment vertical="center"/>
    </xf>
    <xf numFmtId="0" fontId="75" fillId="0" borderId="115" xfId="35" applyFont="1" applyFill="1" applyBorder="1" applyAlignment="1">
      <alignment horizontal="center" vertical="center"/>
    </xf>
    <xf numFmtId="0" fontId="76" fillId="0" borderId="3" xfId="35" applyFont="1" applyFill="1" applyBorder="1" applyAlignment="1">
      <alignment horizontal="center" vertical="center"/>
    </xf>
    <xf numFmtId="49" fontId="76" fillId="0" borderId="127" xfId="35" applyNumberFormat="1" applyFont="1" applyFill="1" applyBorder="1" applyAlignment="1">
      <alignment vertical="center"/>
    </xf>
    <xf numFmtId="3" fontId="75" fillId="0" borderId="1" xfId="35" applyNumberFormat="1" applyFont="1" applyFill="1" applyBorder="1" applyAlignment="1">
      <alignment vertical="center"/>
    </xf>
    <xf numFmtId="3" fontId="75" fillId="0" borderId="116" xfId="35" applyNumberFormat="1" applyFont="1" applyFill="1" applyBorder="1" applyAlignment="1">
      <alignment vertical="center"/>
    </xf>
    <xf numFmtId="3" fontId="75" fillId="0" borderId="116" xfId="35" applyNumberFormat="1" applyFont="1" applyFill="1" applyBorder="1" applyAlignment="1">
      <alignment horizontal="center" vertical="center"/>
    </xf>
    <xf numFmtId="3" fontId="73" fillId="0" borderId="1" xfId="35" applyNumberFormat="1" applyFont="1" applyFill="1" applyBorder="1" applyAlignment="1">
      <alignment vertical="center"/>
    </xf>
    <xf numFmtId="3" fontId="75" fillId="0" borderId="128" xfId="35" applyNumberFormat="1" applyFont="1" applyFill="1" applyBorder="1" applyAlignment="1">
      <alignment vertical="center"/>
    </xf>
    <xf numFmtId="49" fontId="73" fillId="7" borderId="4" xfId="35" applyNumberFormat="1" applyFont="1" applyFill="1" applyBorder="1" applyAlignment="1">
      <alignment vertical="center"/>
    </xf>
    <xf numFmtId="3" fontId="73" fillId="7" borderId="4" xfId="35" applyNumberFormat="1" applyFont="1" applyFill="1" applyBorder="1" applyAlignment="1">
      <alignment vertical="center"/>
    </xf>
    <xf numFmtId="172" fontId="73" fillId="7" borderId="4" xfId="35" applyNumberFormat="1" applyFont="1" applyFill="1" applyBorder="1" applyAlignment="1">
      <alignment vertical="center"/>
    </xf>
    <xf numFmtId="172" fontId="73" fillId="7" borderId="4" xfId="35" applyNumberFormat="1" applyFont="1" applyFill="1" applyBorder="1" applyAlignment="1">
      <alignment horizontal="center" vertical="center"/>
    </xf>
    <xf numFmtId="172" fontId="73" fillId="7" borderId="7" xfId="35" applyNumberFormat="1" applyFont="1" applyFill="1" applyBorder="1" applyAlignment="1">
      <alignment vertical="center"/>
    </xf>
    <xf numFmtId="49" fontId="37" fillId="0" borderId="0" xfId="13" applyNumberFormat="1"/>
    <xf numFmtId="0" fontId="85" fillId="7" borderId="0" xfId="13" applyFont="1" applyFill="1"/>
    <xf numFmtId="43" fontId="38" fillId="7" borderId="0" xfId="55" applyNumberFormat="1" applyFont="1" applyFill="1"/>
    <xf numFmtId="43" fontId="63" fillId="0" borderId="0" xfId="55" applyNumberFormat="1" applyFont="1"/>
    <xf numFmtId="0" fontId="1" fillId="9" borderId="0" xfId="53" applyFill="1"/>
    <xf numFmtId="0" fontId="37" fillId="9" borderId="0" xfId="13" applyFill="1" applyAlignment="1">
      <alignment horizontal="right"/>
    </xf>
    <xf numFmtId="3" fontId="12" fillId="9" borderId="0" xfId="53" applyNumberFormat="1" applyFont="1" applyFill="1"/>
    <xf numFmtId="43" fontId="9" fillId="9" borderId="34" xfId="1" applyFont="1" applyFill="1" applyBorder="1" applyAlignment="1">
      <alignment horizontal="center" vertical="justify"/>
    </xf>
    <xf numFmtId="43" fontId="9" fillId="9" borderId="44" xfId="1" applyFont="1" applyFill="1" applyBorder="1" applyAlignment="1">
      <alignment horizontal="center" vertical="justify"/>
    </xf>
    <xf numFmtId="3" fontId="1" fillId="0" borderId="54" xfId="0" applyNumberFormat="1" applyFont="1" applyFill="1" applyBorder="1" applyAlignment="1">
      <alignment vertical="center"/>
    </xf>
    <xf numFmtId="3" fontId="1" fillId="0" borderId="44" xfId="0" applyNumberFormat="1" applyFont="1" applyFill="1" applyBorder="1" applyAlignment="1">
      <alignment vertical="center"/>
    </xf>
    <xf numFmtId="3" fontId="1" fillId="0" borderId="48" xfId="0" applyNumberFormat="1" applyFont="1" applyFill="1" applyBorder="1" applyAlignment="1">
      <alignment vertical="center"/>
    </xf>
    <xf numFmtId="3" fontId="34" fillId="2" borderId="22" xfId="0" applyNumberFormat="1" applyFont="1" applyFill="1" applyBorder="1" applyAlignment="1">
      <alignment vertical="center"/>
    </xf>
    <xf numFmtId="3" fontId="1" fillId="0" borderId="48" xfId="0" applyNumberFormat="1" applyFont="1" applyFill="1" applyBorder="1" applyAlignment="1">
      <alignment horizontal="right" vertical="center"/>
    </xf>
    <xf numFmtId="3" fontId="17" fillId="0" borderId="0" xfId="0" applyNumberFormat="1" applyFont="1" applyFill="1" applyAlignment="1">
      <alignment horizontal="center" vertical="center"/>
    </xf>
    <xf numFmtId="165" fontId="39" fillId="10" borderId="99" xfId="0" applyNumberFormat="1" applyFont="1" applyFill="1" applyBorder="1" applyAlignment="1">
      <alignment horizontal="center" vertical="center" wrapText="1"/>
    </xf>
    <xf numFmtId="0" fontId="39" fillId="10" borderId="100" xfId="0" applyFont="1" applyFill="1" applyBorder="1" applyAlignment="1">
      <alignment horizontal="center" vertical="center" wrapText="1"/>
    </xf>
    <xf numFmtId="166" fontId="39" fillId="10" borderId="100" xfId="0" applyNumberFormat="1" applyFont="1" applyFill="1" applyBorder="1" applyAlignment="1">
      <alignment horizontal="center" vertical="center" wrapText="1"/>
    </xf>
    <xf numFmtId="49" fontId="39" fillId="10" borderId="100" xfId="0" applyNumberFormat="1" applyFont="1" applyFill="1" applyBorder="1" applyAlignment="1">
      <alignment horizontal="center" vertical="center" wrapText="1"/>
    </xf>
    <xf numFmtId="3" fontId="50" fillId="10" borderId="100" xfId="1" applyNumberFormat="1" applyFont="1" applyFill="1" applyBorder="1" applyAlignment="1">
      <alignment horizontal="center" vertical="center" wrapText="1"/>
    </xf>
    <xf numFmtId="165" fontId="0" fillId="0" borderId="102" xfId="0" applyNumberFormat="1" applyBorder="1" applyAlignment="1">
      <alignment horizontal="center"/>
    </xf>
    <xf numFmtId="49" fontId="0" fillId="0" borderId="102" xfId="0" applyNumberFormat="1" applyBorder="1" applyAlignment="1">
      <alignment horizontal="center"/>
    </xf>
    <xf numFmtId="167" fontId="50" fillId="10" borderId="101" xfId="1" applyNumberFormat="1" applyFont="1" applyFill="1" applyBorder="1" applyAlignment="1">
      <alignment horizontal="center" vertical="center" wrapText="1"/>
    </xf>
    <xf numFmtId="167" fontId="53" fillId="0" borderId="0" xfId="1" applyNumberFormat="1" applyFont="1" applyAlignment="1">
      <alignment horizontal="center"/>
    </xf>
    <xf numFmtId="167" fontId="51" fillId="0" borderId="0" xfId="1" applyNumberFormat="1" applyFont="1" applyAlignment="1">
      <alignment horizontal="center"/>
    </xf>
    <xf numFmtId="167" fontId="35" fillId="0" borderId="0" xfId="1" applyNumberFormat="1" applyFont="1" applyAlignment="1">
      <alignment horizontal="center"/>
    </xf>
    <xf numFmtId="165" fontId="0" fillId="0" borderId="10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102" xfId="0" applyNumberFormat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49" fontId="43" fillId="0" borderId="102" xfId="0" applyNumberFormat="1" applyFont="1" applyBorder="1" applyAlignment="1">
      <alignment horizontal="center" vertical="center" wrapText="1"/>
    </xf>
    <xf numFmtId="49" fontId="40" fillId="0" borderId="102" xfId="0" applyNumberFormat="1" applyFont="1" applyBorder="1" applyAlignment="1">
      <alignment horizontal="center" vertical="center" wrapText="1"/>
    </xf>
    <xf numFmtId="165" fontId="40" fillId="0" borderId="102" xfId="0" applyNumberFormat="1" applyFont="1" applyBorder="1" applyAlignment="1">
      <alignment horizontal="center" vertical="center" wrapText="1"/>
    </xf>
    <xf numFmtId="49" fontId="42" fillId="0" borderId="102" xfId="0" applyNumberFormat="1" applyFont="1" applyBorder="1" applyAlignment="1">
      <alignment horizontal="center" vertical="center" wrapText="1"/>
    </xf>
    <xf numFmtId="172" fontId="37" fillId="0" borderId="0" xfId="13" applyNumberFormat="1"/>
    <xf numFmtId="0" fontId="9" fillId="7" borderId="34" xfId="13" applyFont="1" applyFill="1" applyBorder="1" applyAlignment="1">
      <alignment horizontal="center" vertical="center"/>
    </xf>
    <xf numFmtId="0" fontId="9" fillId="7" borderId="31" xfId="13" applyFont="1" applyFill="1" applyBorder="1" applyAlignment="1">
      <alignment horizontal="center" vertical="center"/>
    </xf>
    <xf numFmtId="49" fontId="10" fillId="16" borderId="34" xfId="13" applyNumberFormat="1" applyFont="1" applyFill="1" applyBorder="1" applyAlignment="1">
      <alignment horizontal="center" vertical="center"/>
    </xf>
    <xf numFmtId="49" fontId="10" fillId="16" borderId="31" xfId="13" applyNumberFormat="1" applyFont="1" applyFill="1" applyBorder="1" applyAlignment="1">
      <alignment horizontal="center" vertical="center"/>
    </xf>
    <xf numFmtId="172" fontId="86" fillId="0" borderId="0" xfId="13" applyNumberFormat="1" applyFont="1"/>
    <xf numFmtId="3" fontId="86" fillId="0" borderId="0" xfId="13" applyNumberFormat="1" applyFont="1"/>
    <xf numFmtId="49" fontId="15" fillId="0" borderId="25" xfId="13" applyNumberFormat="1" applyFont="1" applyFill="1" applyBorder="1" applyAlignment="1">
      <alignment horizontal="center" vertical="center"/>
    </xf>
    <xf numFmtId="49" fontId="15" fillId="0" borderId="24" xfId="13" applyNumberFormat="1" applyFont="1" applyFill="1" applyBorder="1" applyAlignment="1">
      <alignment horizontal="center" vertical="center"/>
    </xf>
    <xf numFmtId="3" fontId="10" fillId="0" borderId="23" xfId="13" applyNumberFormat="1" applyFont="1" applyBorder="1" applyAlignment="1">
      <alignment vertical="center"/>
    </xf>
    <xf numFmtId="3" fontId="10" fillId="0" borderId="48" xfId="13" applyNumberFormat="1" applyFont="1" applyBorder="1" applyAlignment="1">
      <alignment vertical="center"/>
    </xf>
    <xf numFmtId="3" fontId="12" fillId="4" borderId="22" xfId="13" applyNumberFormat="1" applyFont="1" applyFill="1" applyBorder="1" applyAlignment="1">
      <alignment vertical="center"/>
    </xf>
    <xf numFmtId="49" fontId="10" fillId="0" borderId="31" xfId="13" applyNumberFormat="1" applyFont="1" applyFill="1" applyBorder="1" applyAlignment="1">
      <alignment horizontal="left" vertical="center"/>
    </xf>
    <xf numFmtId="49" fontId="10" fillId="0" borderId="24" xfId="13" applyNumberFormat="1" applyFont="1" applyFill="1" applyBorder="1" applyAlignment="1">
      <alignment horizontal="left" vertical="center"/>
    </xf>
    <xf numFmtId="3" fontId="10" fillId="0" borderId="40" xfId="30" applyNumberFormat="1" applyFont="1" applyFill="1" applyBorder="1" applyAlignment="1">
      <alignment horizontal="right" vertical="center"/>
    </xf>
    <xf numFmtId="49" fontId="10" fillId="0" borderId="33" xfId="13" applyNumberFormat="1" applyFont="1" applyFill="1" applyBorder="1" applyAlignment="1">
      <alignment horizontal="left" vertical="center"/>
    </xf>
    <xf numFmtId="3" fontId="10" fillId="0" borderId="33" xfId="30" applyNumberFormat="1" applyFont="1" applyFill="1" applyBorder="1" applyAlignment="1">
      <alignment horizontal="right" vertical="center"/>
    </xf>
    <xf numFmtId="3" fontId="10" fillId="0" borderId="36" xfId="30" applyNumberFormat="1" applyFont="1" applyFill="1" applyBorder="1" applyAlignment="1">
      <alignment horizontal="right" vertical="center"/>
    </xf>
    <xf numFmtId="3" fontId="10" fillId="0" borderId="23" xfId="30" applyNumberFormat="1" applyFont="1" applyFill="1" applyBorder="1" applyAlignment="1">
      <alignment horizontal="right" vertical="center"/>
    </xf>
    <xf numFmtId="3" fontId="10" fillId="0" borderId="44" xfId="30" applyNumberFormat="1" applyFont="1" applyFill="1" applyBorder="1" applyAlignment="1">
      <alignment horizontal="right" vertical="center"/>
    </xf>
    <xf numFmtId="3" fontId="9" fillId="2" borderId="48" xfId="13" applyNumberFormat="1" applyFont="1" applyFill="1" applyBorder="1" applyAlignment="1">
      <alignment horizontal="right" vertical="center"/>
    </xf>
    <xf numFmtId="3" fontId="15" fillId="0" borderId="44" xfId="30" applyNumberFormat="1" applyFont="1" applyBorder="1" applyAlignment="1">
      <alignment horizontal="right" vertical="center"/>
    </xf>
    <xf numFmtId="3" fontId="10" fillId="0" borderId="44" xfId="30" applyNumberFormat="1" applyFont="1" applyBorder="1" applyAlignment="1">
      <alignment horizontal="right" vertical="center"/>
    </xf>
    <xf numFmtId="3" fontId="15" fillId="0" borderId="23" xfId="30" applyNumberFormat="1" applyFont="1" applyBorder="1" applyAlignment="1">
      <alignment horizontal="right" vertical="center"/>
    </xf>
    <xf numFmtId="3" fontId="10" fillId="0" borderId="54" xfId="20" applyNumberFormat="1" applyFont="1" applyFill="1" applyBorder="1" applyAlignment="1">
      <alignment horizontal="right" vertical="center"/>
    </xf>
    <xf numFmtId="3" fontId="15" fillId="0" borderId="131" xfId="30" applyNumberFormat="1" applyFont="1" applyBorder="1" applyAlignment="1">
      <alignment horizontal="right" vertical="center"/>
    </xf>
    <xf numFmtId="3" fontId="9" fillId="2" borderId="131" xfId="30" applyNumberFormat="1" applyFont="1" applyFill="1" applyBorder="1" applyAlignment="1">
      <alignment horizontal="right" vertical="center"/>
    </xf>
    <xf numFmtId="3" fontId="10" fillId="0" borderId="23" xfId="30" applyNumberFormat="1" applyFont="1" applyBorder="1" applyAlignment="1">
      <alignment horizontal="right" vertical="center"/>
    </xf>
    <xf numFmtId="3" fontId="10" fillId="0" borderId="54" xfId="30" applyNumberFormat="1" applyFont="1" applyBorder="1" applyAlignment="1">
      <alignment horizontal="right" vertical="center"/>
    </xf>
    <xf numFmtId="3" fontId="10" fillId="0" borderId="54" xfId="30" applyNumberFormat="1" applyFont="1" applyFill="1" applyBorder="1" applyAlignment="1">
      <alignment horizontal="right" vertical="center"/>
    </xf>
    <xf numFmtId="3" fontId="15" fillId="0" borderId="44" xfId="30" applyNumberFormat="1" applyFont="1" applyFill="1" applyBorder="1" applyAlignment="1">
      <alignment horizontal="right" vertical="center"/>
    </xf>
    <xf numFmtId="3" fontId="15" fillId="0" borderId="131" xfId="30" applyNumberFormat="1" applyFont="1" applyFill="1" applyBorder="1" applyAlignment="1">
      <alignment horizontal="right" vertical="center"/>
    </xf>
    <xf numFmtId="3" fontId="10" fillId="0" borderId="131" xfId="30" applyNumberFormat="1" applyFont="1" applyBorder="1" applyAlignment="1">
      <alignment horizontal="right" vertical="center"/>
    </xf>
    <xf numFmtId="3" fontId="9" fillId="2" borderId="44" xfId="30" applyNumberFormat="1" applyFont="1" applyFill="1" applyBorder="1" applyAlignment="1">
      <alignment horizontal="right" vertical="center"/>
    </xf>
    <xf numFmtId="3" fontId="9" fillId="0" borderId="23" xfId="30" applyNumberFormat="1" applyFont="1" applyFill="1" applyBorder="1" applyAlignment="1">
      <alignment horizontal="right" vertical="center"/>
    </xf>
    <xf numFmtId="3" fontId="9" fillId="0" borderId="44" xfId="30" applyNumberFormat="1" applyFont="1" applyFill="1" applyBorder="1" applyAlignment="1">
      <alignment horizontal="right" vertical="center"/>
    </xf>
    <xf numFmtId="3" fontId="9" fillId="7" borderId="44" xfId="30" applyNumberFormat="1" applyFont="1" applyFill="1" applyBorder="1" applyAlignment="1">
      <alignment horizontal="right" vertical="center"/>
    </xf>
    <xf numFmtId="3" fontId="10" fillId="12" borderId="44" xfId="30" applyNumberFormat="1" applyFont="1" applyFill="1" applyBorder="1" applyAlignment="1">
      <alignment horizontal="right" vertical="center"/>
    </xf>
    <xf numFmtId="3" fontId="9" fillId="7" borderId="48" xfId="30" applyNumberFormat="1" applyFont="1" applyFill="1" applyBorder="1" applyAlignment="1">
      <alignment horizontal="right" vertical="center"/>
    </xf>
    <xf numFmtId="3" fontId="14" fillId="2" borderId="23" xfId="30" applyNumberFormat="1" applyFont="1" applyFill="1" applyBorder="1" applyAlignment="1">
      <alignment horizontal="right" vertical="center" wrapText="1"/>
    </xf>
    <xf numFmtId="3" fontId="14" fillId="2" borderId="44" xfId="30" applyNumberFormat="1" applyFont="1" applyFill="1" applyBorder="1" applyAlignment="1">
      <alignment horizontal="right" vertical="center" wrapText="1"/>
    </xf>
    <xf numFmtId="3" fontId="9" fillId="7" borderId="54" xfId="13" applyNumberFormat="1" applyFont="1" applyFill="1" applyBorder="1" applyAlignment="1">
      <alignment vertical="center"/>
    </xf>
    <xf numFmtId="3" fontId="12" fillId="0" borderId="22" xfId="13" applyNumberFormat="1" applyFont="1" applyFill="1" applyBorder="1" applyAlignment="1">
      <alignment horizontal="right" vertical="center"/>
    </xf>
    <xf numFmtId="3" fontId="12" fillId="7" borderId="22" xfId="13" applyNumberFormat="1" applyFont="1" applyFill="1" applyBorder="1" applyAlignment="1">
      <alignment horizontal="right" vertical="center"/>
    </xf>
    <xf numFmtId="3" fontId="9" fillId="2" borderId="48" xfId="13" applyNumberFormat="1" applyFont="1" applyFill="1" applyBorder="1" applyAlignment="1">
      <alignment vertical="center"/>
    </xf>
    <xf numFmtId="3" fontId="10" fillId="4" borderId="44" xfId="13" applyNumberFormat="1" applyFont="1" applyFill="1" applyBorder="1" applyAlignment="1">
      <alignment vertical="center"/>
    </xf>
    <xf numFmtId="3" fontId="10" fillId="4" borderId="131" xfId="13" applyNumberFormat="1" applyFont="1" applyFill="1" applyBorder="1" applyAlignment="1">
      <alignment vertical="center"/>
    </xf>
    <xf numFmtId="3" fontId="10" fillId="4" borderId="54" xfId="13" applyNumberFormat="1" applyFont="1" applyFill="1" applyBorder="1" applyAlignment="1">
      <alignment vertical="center"/>
    </xf>
    <xf numFmtId="3" fontId="9" fillId="2" borderId="44" xfId="13" applyNumberFormat="1" applyFont="1" applyFill="1" applyBorder="1" applyAlignment="1">
      <alignment vertical="center"/>
    </xf>
    <xf numFmtId="3" fontId="10" fillId="12" borderId="133" xfId="30" applyNumberFormat="1" applyFont="1" applyFill="1" applyBorder="1" applyAlignment="1">
      <alignment horizontal="right" vertical="center"/>
    </xf>
    <xf numFmtId="3" fontId="10" fillId="4" borderId="133" xfId="30" applyNumberFormat="1" applyFont="1" applyFill="1" applyBorder="1" applyAlignment="1">
      <alignment vertical="center"/>
    </xf>
    <xf numFmtId="3" fontId="9" fillId="7" borderId="134" xfId="30" applyNumberFormat="1" applyFont="1" applyFill="1" applyBorder="1" applyAlignment="1">
      <alignment vertical="center"/>
    </xf>
    <xf numFmtId="3" fontId="10" fillId="0" borderId="135" xfId="13" applyNumberFormat="1" applyFont="1" applyFill="1" applyBorder="1" applyAlignment="1">
      <alignment horizontal="right" vertical="center"/>
    </xf>
    <xf numFmtId="3" fontId="10" fillId="0" borderId="133" xfId="30" applyNumberFormat="1" applyFont="1" applyBorder="1" applyAlignment="1">
      <alignment horizontal="right" vertical="center"/>
    </xf>
    <xf numFmtId="3" fontId="10" fillId="0" borderId="133" xfId="13" applyNumberFormat="1" applyFont="1" applyFill="1" applyBorder="1" applyAlignment="1">
      <alignment horizontal="right" vertical="center"/>
    </xf>
    <xf numFmtId="3" fontId="15" fillId="0" borderId="133" xfId="30" applyNumberFormat="1" applyFont="1" applyBorder="1" applyAlignment="1">
      <alignment horizontal="right" vertical="center"/>
    </xf>
    <xf numFmtId="3" fontId="15" fillId="0" borderId="136" xfId="13" applyNumberFormat="1" applyFont="1" applyFill="1" applyBorder="1" applyAlignment="1">
      <alignment horizontal="right" vertical="center"/>
    </xf>
    <xf numFmtId="3" fontId="15" fillId="0" borderId="137" xfId="13" applyNumberFormat="1" applyFont="1" applyFill="1" applyBorder="1" applyAlignment="1">
      <alignment horizontal="right" vertical="center"/>
    </xf>
    <xf numFmtId="3" fontId="15" fillId="0" borderId="137" xfId="30" applyNumberFormat="1" applyFont="1" applyBorder="1" applyAlignment="1">
      <alignment horizontal="right" vertical="center"/>
    </xf>
    <xf numFmtId="3" fontId="15" fillId="0" borderId="138" xfId="13" applyNumberFormat="1" applyFont="1" applyFill="1" applyBorder="1" applyAlignment="1">
      <alignment horizontal="right" vertical="center"/>
    </xf>
    <xf numFmtId="3" fontId="14" fillId="2" borderId="139" xfId="13" applyNumberFormat="1" applyFont="1" applyFill="1" applyBorder="1" applyAlignment="1">
      <alignment vertical="center"/>
    </xf>
    <xf numFmtId="3" fontId="14" fillId="2" borderId="140" xfId="30" applyNumberFormat="1" applyFont="1" applyFill="1" applyBorder="1" applyAlignment="1">
      <alignment vertical="center"/>
    </xf>
    <xf numFmtId="3" fontId="14" fillId="2" borderId="141" xfId="30" applyNumberFormat="1" applyFont="1" applyFill="1" applyBorder="1" applyAlignment="1">
      <alignment vertical="center"/>
    </xf>
    <xf numFmtId="3" fontId="15" fillId="0" borderId="23" xfId="20" applyNumberFormat="1" applyFont="1" applyBorder="1" applyAlignment="1">
      <alignment vertical="center"/>
    </xf>
    <xf numFmtId="3" fontId="15" fillId="0" borderId="44" xfId="20" applyNumberFormat="1" applyFont="1" applyBorder="1" applyAlignment="1">
      <alignment vertical="center"/>
    </xf>
    <xf numFmtId="3" fontId="15" fillId="0" borderId="44" xfId="20" applyNumberFormat="1" applyFont="1" applyFill="1" applyBorder="1" applyAlignment="1">
      <alignment vertical="center"/>
    </xf>
    <xf numFmtId="3" fontId="14" fillId="2" borderId="44" xfId="20" applyNumberFormat="1" applyFont="1" applyFill="1" applyBorder="1" applyAlignment="1">
      <alignment vertical="center"/>
    </xf>
    <xf numFmtId="3" fontId="46" fillId="7" borderId="142" xfId="20" applyNumberFormat="1" applyFont="1" applyFill="1" applyBorder="1" applyAlignment="1">
      <alignment vertical="center"/>
    </xf>
    <xf numFmtId="3" fontId="14" fillId="2" borderId="23" xfId="13" applyNumberFormat="1" applyFont="1" applyFill="1" applyBorder="1" applyAlignment="1">
      <alignment vertical="center"/>
    </xf>
    <xf numFmtId="3" fontId="14" fillId="2" borderId="44" xfId="13" applyNumberFormat="1" applyFont="1" applyFill="1" applyBorder="1" applyAlignment="1">
      <alignment vertical="center"/>
    </xf>
    <xf numFmtId="3" fontId="14" fillId="2" borderId="48" xfId="13" applyNumberFormat="1" applyFont="1" applyFill="1" applyBorder="1" applyAlignment="1">
      <alignment vertical="center"/>
    </xf>
    <xf numFmtId="3" fontId="9" fillId="4" borderId="22" xfId="13" applyNumberFormat="1" applyFont="1" applyFill="1" applyBorder="1" applyAlignment="1">
      <alignment vertical="center"/>
    </xf>
    <xf numFmtId="3" fontId="9" fillId="7" borderId="44" xfId="13" applyNumberFormat="1" applyFont="1" applyFill="1" applyBorder="1" applyAlignment="1">
      <alignment vertical="center"/>
    </xf>
    <xf numFmtId="3" fontId="10" fillId="0" borderId="44" xfId="13" applyNumberFormat="1" applyFont="1" applyFill="1" applyBorder="1" applyAlignment="1">
      <alignment vertical="center"/>
    </xf>
    <xf numFmtId="3" fontId="9" fillId="9" borderId="44" xfId="13" applyNumberFormat="1" applyFont="1" applyFill="1" applyBorder="1" applyAlignment="1">
      <alignment vertical="center"/>
    </xf>
    <xf numFmtId="3" fontId="9" fillId="7" borderId="23" xfId="13" applyNumberFormat="1" applyFont="1" applyFill="1" applyBorder="1" applyAlignment="1">
      <alignment vertical="center"/>
    </xf>
    <xf numFmtId="3" fontId="9" fillId="2" borderId="131" xfId="13" applyNumberFormat="1" applyFont="1" applyFill="1" applyBorder="1" applyAlignment="1">
      <alignment vertical="center"/>
    </xf>
    <xf numFmtId="3" fontId="33" fillId="0" borderId="22" xfId="13" applyNumberFormat="1" applyFont="1" applyFill="1" applyBorder="1" applyAlignment="1">
      <alignment vertical="center"/>
    </xf>
    <xf numFmtId="3" fontId="12" fillId="0" borderId="0" xfId="13" applyNumberFormat="1" applyFont="1" applyFill="1" applyBorder="1" applyAlignment="1">
      <alignment horizontal="right" vertical="center"/>
    </xf>
    <xf numFmtId="3" fontId="9" fillId="7" borderId="23" xfId="30" applyNumberFormat="1" applyFont="1" applyFill="1" applyBorder="1" applyAlignment="1">
      <alignment horizontal="right" vertical="center"/>
    </xf>
    <xf numFmtId="3" fontId="9" fillId="9" borderId="44" xfId="30" applyNumberFormat="1" applyFont="1" applyFill="1" applyBorder="1" applyAlignment="1">
      <alignment horizontal="right" vertical="center"/>
    </xf>
    <xf numFmtId="3" fontId="9" fillId="12" borderId="44" xfId="30" applyNumberFormat="1" applyFont="1" applyFill="1" applyBorder="1" applyAlignment="1">
      <alignment horizontal="right" vertical="center"/>
    </xf>
    <xf numFmtId="3" fontId="9" fillId="7" borderId="23" xfId="13" applyNumberFormat="1" applyFont="1" applyFill="1" applyBorder="1" applyAlignment="1">
      <alignment horizontal="right" vertical="center" wrapText="1"/>
    </xf>
    <xf numFmtId="3" fontId="9" fillId="7" borderId="26" xfId="13" applyNumberFormat="1" applyFont="1" applyFill="1" applyBorder="1" applyAlignment="1">
      <alignment horizontal="right" vertical="center" wrapText="1"/>
    </xf>
    <xf numFmtId="3" fontId="12" fillId="2" borderId="22" xfId="13" applyNumberFormat="1" applyFont="1" applyFill="1" applyBorder="1" applyAlignment="1">
      <alignment horizontal="right" vertical="center"/>
    </xf>
    <xf numFmtId="3" fontId="15" fillId="0" borderId="23" xfId="20" applyNumberFormat="1" applyFont="1" applyFill="1" applyBorder="1" applyAlignment="1">
      <alignment vertical="center"/>
    </xf>
    <xf numFmtId="3" fontId="15" fillId="0" borderId="54" xfId="20" applyNumberFormat="1" applyFont="1" applyFill="1" applyBorder="1" applyAlignment="1">
      <alignment vertical="center"/>
    </xf>
    <xf numFmtId="3" fontId="15" fillId="4" borderId="54" xfId="20" applyNumberFormat="1" applyFont="1" applyFill="1" applyBorder="1" applyAlignment="1">
      <alignment vertical="center"/>
    </xf>
    <xf numFmtId="3" fontId="14" fillId="2" borderId="131" xfId="30" applyNumberFormat="1" applyFont="1" applyFill="1" applyBorder="1" applyAlignment="1">
      <alignment horizontal="right" vertical="center"/>
    </xf>
    <xf numFmtId="3" fontId="14" fillId="2" borderId="48" xfId="30" applyNumberFormat="1" applyFont="1" applyFill="1" applyBorder="1" applyAlignment="1">
      <alignment horizontal="right" vertical="center"/>
    </xf>
    <xf numFmtId="3" fontId="10" fillId="5" borderId="44" xfId="13" applyNumberFormat="1" applyFont="1" applyFill="1" applyBorder="1" applyAlignment="1">
      <alignment horizontal="right" vertical="center"/>
    </xf>
    <xf numFmtId="3" fontId="10" fillId="0" borderId="54" xfId="13" applyNumberFormat="1" applyFont="1" applyBorder="1" applyAlignment="1">
      <alignment horizontal="right" vertical="center"/>
    </xf>
    <xf numFmtId="3" fontId="10" fillId="0" borderId="44" xfId="13" applyNumberFormat="1" applyFont="1" applyBorder="1" applyAlignment="1">
      <alignment horizontal="right" vertical="center"/>
    </xf>
    <xf numFmtId="3" fontId="10" fillId="0" borderId="143" xfId="13" applyNumberFormat="1" applyFont="1" applyFill="1" applyBorder="1" applyAlignment="1">
      <alignment horizontal="right" vertical="center"/>
    </xf>
    <xf numFmtId="3" fontId="10" fillId="0" borderId="44" xfId="13" applyNumberFormat="1" applyFont="1" applyFill="1" applyBorder="1" applyAlignment="1">
      <alignment horizontal="right" vertical="center"/>
    </xf>
    <xf numFmtId="3" fontId="9" fillId="7" borderId="48" xfId="13" applyNumberFormat="1" applyFont="1" applyFill="1" applyBorder="1" applyAlignment="1">
      <alignment horizontal="right" vertical="center"/>
    </xf>
    <xf numFmtId="3" fontId="9" fillId="7" borderId="131" xfId="30" applyNumberFormat="1" applyFont="1" applyFill="1" applyBorder="1" applyAlignment="1">
      <alignment horizontal="right" vertical="center"/>
    </xf>
    <xf numFmtId="3" fontId="9" fillId="7" borderId="144" xfId="30" applyNumberFormat="1" applyFont="1" applyFill="1" applyBorder="1" applyAlignment="1">
      <alignment horizontal="right" vertical="center"/>
    </xf>
    <xf numFmtId="3" fontId="9" fillId="7" borderId="23" xfId="13" applyNumberFormat="1" applyFont="1" applyFill="1" applyBorder="1" applyAlignment="1">
      <alignment horizontal="right" vertical="center"/>
    </xf>
    <xf numFmtId="3" fontId="9" fillId="7" borderId="54" xfId="30" applyNumberFormat="1" applyFont="1" applyFill="1" applyBorder="1" applyAlignment="1">
      <alignment horizontal="right" vertical="center"/>
    </xf>
    <xf numFmtId="3" fontId="10" fillId="0" borderId="131" xfId="30" applyNumberFormat="1" applyFont="1" applyFill="1" applyBorder="1" applyAlignment="1">
      <alignment horizontal="right" vertical="center"/>
    </xf>
    <xf numFmtId="3" fontId="9" fillId="7" borderId="44" xfId="13" applyNumberFormat="1" applyFont="1" applyFill="1" applyBorder="1" applyAlignment="1">
      <alignment horizontal="right" vertical="center"/>
    </xf>
    <xf numFmtId="3" fontId="9" fillId="7" borderId="54" xfId="13" applyNumberFormat="1" applyFont="1" applyFill="1" applyBorder="1" applyAlignment="1">
      <alignment horizontal="right" vertical="center"/>
    </xf>
    <xf numFmtId="3" fontId="9" fillId="7" borderId="143" xfId="13" applyNumberFormat="1" applyFont="1" applyFill="1" applyBorder="1" applyAlignment="1">
      <alignment horizontal="right" vertical="center"/>
    </xf>
    <xf numFmtId="0" fontId="38" fillId="7" borderId="30" xfId="10" applyFont="1" applyFill="1" applyBorder="1"/>
    <xf numFmtId="3" fontId="12" fillId="7" borderId="22" xfId="13" applyNumberFormat="1" applyFont="1" applyFill="1" applyBorder="1" applyAlignment="1">
      <alignment vertical="center"/>
    </xf>
    <xf numFmtId="3" fontId="35" fillId="0" borderId="44" xfId="13" applyNumberFormat="1" applyFont="1" applyFill="1" applyBorder="1" applyAlignment="1">
      <alignment horizontal="right" vertical="center"/>
    </xf>
    <xf numFmtId="3" fontId="41" fillId="7" borderId="44" xfId="20" applyNumberFormat="1" applyFont="1" applyFill="1" applyBorder="1" applyAlignment="1">
      <alignment horizontal="right" vertical="center"/>
    </xf>
    <xf numFmtId="3" fontId="35" fillId="12" borderId="44" xfId="13" applyNumberFormat="1" applyFont="1" applyFill="1" applyBorder="1" applyAlignment="1">
      <alignment horizontal="right" vertical="center"/>
    </xf>
    <xf numFmtId="3" fontId="9" fillId="2" borderId="44" xfId="20" applyNumberFormat="1" applyFont="1" applyFill="1" applyBorder="1" applyAlignment="1">
      <alignment horizontal="right" vertical="center"/>
    </xf>
    <xf numFmtId="3" fontId="40" fillId="0" borderId="44" xfId="20" applyNumberFormat="1" applyFont="1" applyFill="1" applyBorder="1" applyAlignment="1">
      <alignment horizontal="right" vertical="center"/>
    </xf>
    <xf numFmtId="3" fontId="40" fillId="0" borderId="131" xfId="30" applyNumberFormat="1" applyFont="1" applyFill="1" applyBorder="1" applyAlignment="1">
      <alignment horizontal="right" vertical="center"/>
    </xf>
    <xf numFmtId="3" fontId="40" fillId="0" borderId="44" xfId="30" applyNumberFormat="1" applyFont="1" applyFill="1" applyBorder="1" applyAlignment="1">
      <alignment horizontal="right" vertical="center"/>
    </xf>
    <xf numFmtId="3" fontId="9" fillId="2" borderId="48" xfId="30" applyNumberFormat="1" applyFont="1" applyFill="1" applyBorder="1" applyAlignment="1">
      <alignment horizontal="right" vertical="center"/>
    </xf>
    <xf numFmtId="3" fontId="9" fillId="2" borderId="54" xfId="27" applyNumberFormat="1" applyFont="1" applyFill="1" applyBorder="1" applyAlignment="1">
      <alignment vertical="center"/>
    </xf>
    <xf numFmtId="3" fontId="9" fillId="2" borderId="44" xfId="27" applyNumberFormat="1" applyFont="1" applyFill="1" applyBorder="1" applyAlignment="1">
      <alignment vertical="center"/>
    </xf>
    <xf numFmtId="3" fontId="9" fillId="7" borderId="44" xfId="27" applyNumberFormat="1" applyFont="1" applyFill="1" applyBorder="1" applyAlignment="1">
      <alignment vertical="center"/>
    </xf>
    <xf numFmtId="3" fontId="10" fillId="12" borderId="44" xfId="27" applyNumberFormat="1" applyFont="1" applyFill="1" applyBorder="1" applyAlignment="1">
      <alignment vertical="center"/>
    </xf>
    <xf numFmtId="3" fontId="10" fillId="0" borderId="54" xfId="27" applyNumberFormat="1" applyFont="1" applyBorder="1" applyAlignment="1">
      <alignment vertical="center"/>
    </xf>
    <xf numFmtId="3" fontId="9" fillId="6" borderId="44" xfId="13" applyNumberFormat="1" applyFont="1" applyFill="1" applyBorder="1" applyAlignment="1">
      <alignment vertical="center"/>
    </xf>
    <xf numFmtId="3" fontId="10" fillId="0" borderId="44" xfId="27" applyNumberFormat="1" applyFont="1" applyBorder="1" applyAlignment="1">
      <alignment horizontal="right" vertical="center"/>
    </xf>
    <xf numFmtId="3" fontId="9" fillId="6" borderId="44" xfId="27" applyNumberFormat="1" applyFont="1" applyFill="1" applyBorder="1" applyAlignment="1">
      <alignment vertical="center"/>
    </xf>
    <xf numFmtId="3" fontId="10" fillId="0" borderId="44" xfId="27" applyNumberFormat="1" applyFont="1" applyBorder="1" applyAlignment="1">
      <alignment vertical="center"/>
    </xf>
    <xf numFmtId="3" fontId="9" fillId="12" borderId="44" xfId="13" applyNumberFormat="1" applyFont="1" applyFill="1" applyBorder="1" applyAlignment="1">
      <alignment vertical="center"/>
    </xf>
    <xf numFmtId="3" fontId="12" fillId="2" borderId="22" xfId="13" applyNumberFormat="1" applyFont="1" applyFill="1" applyBorder="1"/>
    <xf numFmtId="3" fontId="5" fillId="0" borderId="48" xfId="20" applyNumberFormat="1" applyFont="1" applyFill="1" applyBorder="1" applyAlignment="1">
      <alignment horizontal="right" vertical="center"/>
    </xf>
    <xf numFmtId="3" fontId="9" fillId="2" borderId="22" xfId="12" applyNumberFormat="1" applyFont="1" applyFill="1" applyBorder="1" applyAlignment="1">
      <alignment horizontal="right" vertical="center"/>
    </xf>
    <xf numFmtId="3" fontId="10" fillId="0" borderId="44" xfId="30" applyNumberFormat="1" applyFont="1" applyBorder="1" applyAlignment="1">
      <alignment vertical="center"/>
    </xf>
    <xf numFmtId="3" fontId="10" fillId="0" borderId="27" xfId="30" applyNumberFormat="1" applyFont="1" applyBorder="1" applyAlignment="1">
      <alignment vertical="center"/>
    </xf>
    <xf numFmtId="3" fontId="10" fillId="0" borderId="27" xfId="30" applyNumberFormat="1" applyFont="1" applyBorder="1" applyAlignment="1">
      <alignment horizontal="right" vertical="center"/>
    </xf>
    <xf numFmtId="3" fontId="14" fillId="2" borderId="22" xfId="13" applyNumberFormat="1" applyFont="1" applyFill="1" applyBorder="1" applyAlignment="1">
      <alignment vertical="center"/>
    </xf>
    <xf numFmtId="3" fontId="10" fillId="0" borderId="23" xfId="13" applyNumberFormat="1" applyFont="1" applyFill="1" applyBorder="1" applyAlignment="1">
      <alignment horizontal="right" vertical="center"/>
    </xf>
    <xf numFmtId="3" fontId="10" fillId="16" borderId="44" xfId="13" applyNumberFormat="1" applyFont="1" applyFill="1" applyBorder="1" applyAlignment="1">
      <alignment horizontal="right" vertical="center"/>
    </xf>
    <xf numFmtId="3" fontId="15" fillId="0" borderId="145" xfId="13" applyNumberFormat="1" applyFont="1" applyFill="1" applyBorder="1" applyAlignment="1">
      <alignment horizontal="right" vertical="center"/>
    </xf>
    <xf numFmtId="3" fontId="15" fillId="0" borderId="27" xfId="13" applyNumberFormat="1" applyFont="1" applyFill="1" applyBorder="1" applyAlignment="1">
      <alignment horizontal="right" vertical="center"/>
    </xf>
    <xf numFmtId="3" fontId="10" fillId="0" borderId="48" xfId="30" applyNumberFormat="1" applyFont="1" applyBorder="1" applyAlignment="1">
      <alignment horizontal="right" vertical="center"/>
    </xf>
    <xf numFmtId="3" fontId="10" fillId="0" borderId="26" xfId="13" applyNumberFormat="1" applyFont="1" applyFill="1" applyBorder="1" applyAlignment="1">
      <alignment horizontal="right" vertical="center"/>
    </xf>
    <xf numFmtId="3" fontId="14" fillId="7" borderId="44" xfId="30" applyNumberFormat="1" applyFont="1" applyFill="1" applyBorder="1" applyAlignment="1">
      <alignment horizontal="right" vertical="center"/>
    </xf>
    <xf numFmtId="3" fontId="15" fillId="15" borderId="44" xfId="30" applyNumberFormat="1" applyFont="1" applyFill="1" applyBorder="1" applyAlignment="1">
      <alignment horizontal="right" vertical="center"/>
    </xf>
    <xf numFmtId="3" fontId="15" fillId="10" borderId="44" xfId="30" applyNumberFormat="1" applyFont="1" applyFill="1" applyBorder="1" applyAlignment="1">
      <alignment horizontal="right" vertical="center"/>
    </xf>
    <xf numFmtId="3" fontId="14" fillId="10" borderId="44" xfId="30" applyNumberFormat="1" applyFont="1" applyFill="1" applyBorder="1" applyAlignment="1">
      <alignment horizontal="right" vertical="center"/>
    </xf>
    <xf numFmtId="3" fontId="14" fillId="7" borderId="44" xfId="30" applyNumberFormat="1" applyFont="1" applyFill="1" applyBorder="1" applyAlignment="1">
      <alignment vertical="center"/>
    </xf>
    <xf numFmtId="3" fontId="14" fillId="7" borderId="44" xfId="13" applyNumberFormat="1" applyFont="1" applyFill="1" applyBorder="1" applyAlignment="1">
      <alignment horizontal="right" vertical="center"/>
    </xf>
    <xf numFmtId="3" fontId="14" fillId="7" borderId="26" xfId="13" applyNumberFormat="1" applyFont="1" applyFill="1" applyBorder="1" applyAlignment="1">
      <alignment horizontal="right" vertical="center"/>
    </xf>
    <xf numFmtId="3" fontId="9" fillId="0" borderId="26" xfId="13" applyNumberFormat="1" applyFont="1" applyFill="1" applyBorder="1" applyAlignment="1">
      <alignment vertical="center"/>
    </xf>
    <xf numFmtId="3" fontId="14" fillId="7" borderId="131" xfId="13" applyNumberFormat="1" applyFont="1" applyFill="1" applyBorder="1" applyAlignment="1">
      <alignment horizontal="right" vertical="center"/>
    </xf>
    <xf numFmtId="3" fontId="9" fillId="7" borderId="48" xfId="13" applyNumberFormat="1" applyFont="1" applyFill="1" applyBorder="1" applyAlignment="1">
      <alignment vertical="center"/>
    </xf>
    <xf numFmtId="3" fontId="10" fillId="0" borderId="131" xfId="13" applyNumberFormat="1" applyFont="1" applyFill="1" applyBorder="1" applyAlignment="1">
      <alignment vertical="center"/>
    </xf>
    <xf numFmtId="3" fontId="9" fillId="2" borderId="26" xfId="13" applyNumberFormat="1" applyFont="1" applyFill="1" applyBorder="1" applyAlignment="1">
      <alignment vertical="center"/>
    </xf>
    <xf numFmtId="3" fontId="15" fillId="0" borderId="44" xfId="30" applyNumberFormat="1" applyFont="1" applyBorder="1" applyAlignment="1">
      <alignment vertical="center"/>
    </xf>
    <xf numFmtId="3" fontId="15" fillId="0" borderId="48" xfId="30" applyNumberFormat="1" applyFont="1" applyBorder="1" applyAlignment="1">
      <alignment vertical="center"/>
    </xf>
    <xf numFmtId="3" fontId="9" fillId="7" borderId="22" xfId="13" applyNumberFormat="1" applyFont="1" applyFill="1" applyBorder="1" applyAlignment="1">
      <alignment vertical="center"/>
    </xf>
    <xf numFmtId="49" fontId="10" fillId="3" borderId="95" xfId="13" applyNumberFormat="1" applyFont="1" applyFill="1" applyBorder="1" applyAlignment="1">
      <alignment vertical="center"/>
    </xf>
    <xf numFmtId="49" fontId="15" fillId="3" borderId="96" xfId="13" applyNumberFormat="1" applyFont="1" applyFill="1" applyBorder="1" applyAlignment="1">
      <alignment horizontal="center" vertical="center"/>
    </xf>
    <xf numFmtId="49" fontId="14" fillId="3" borderId="35" xfId="13" applyNumberFormat="1" applyFont="1" applyFill="1" applyBorder="1" applyAlignment="1">
      <alignment horizontal="center" vertical="center"/>
    </xf>
    <xf numFmtId="0" fontId="10" fillId="3" borderId="30" xfId="13" applyFont="1" applyFill="1" applyBorder="1" applyAlignment="1">
      <alignment horizontal="center" vertical="center"/>
    </xf>
    <xf numFmtId="3" fontId="14" fillId="7" borderId="44" xfId="45" applyNumberFormat="1" applyFont="1" applyFill="1" applyBorder="1" applyAlignment="1" applyProtection="1">
      <alignment vertical="center"/>
      <protection locked="0"/>
    </xf>
    <xf numFmtId="3" fontId="15" fillId="4" borderId="23" xfId="45" applyNumberFormat="1" applyFont="1" applyFill="1" applyBorder="1" applyAlignment="1" applyProtection="1">
      <alignment vertical="center"/>
      <protection locked="0"/>
    </xf>
    <xf numFmtId="3" fontId="15" fillId="0" borderId="54" xfId="45" applyNumberFormat="1" applyFont="1" applyFill="1" applyBorder="1" applyAlignment="1" applyProtection="1">
      <alignment vertical="center"/>
      <protection locked="0"/>
    </xf>
    <xf numFmtId="3" fontId="15" fillId="15" borderId="54" xfId="45" applyNumberFormat="1" applyFont="1" applyFill="1" applyBorder="1" applyAlignment="1" applyProtection="1">
      <alignment vertical="center"/>
      <protection locked="0"/>
    </xf>
    <xf numFmtId="4" fontId="15" fillId="0" borderId="54" xfId="45" applyNumberFormat="1" applyFont="1" applyFill="1" applyBorder="1" applyAlignment="1" applyProtection="1">
      <alignment vertical="center"/>
      <protection locked="0"/>
    </xf>
    <xf numFmtId="3" fontId="15" fillId="16" borderId="54" xfId="45" applyNumberFormat="1" applyFont="1" applyFill="1" applyBorder="1" applyAlignment="1" applyProtection="1">
      <alignment vertical="center"/>
      <protection locked="0"/>
    </xf>
    <xf numFmtId="3" fontId="15" fillId="16" borderId="44" xfId="45" applyNumberFormat="1" applyFont="1" applyFill="1" applyBorder="1" applyAlignment="1" applyProtection="1">
      <alignment vertical="center"/>
      <protection locked="0"/>
    </xf>
    <xf numFmtId="3" fontId="10" fillId="0" borderId="54" xfId="13" applyNumberFormat="1" applyFont="1" applyBorder="1" applyAlignment="1">
      <alignment vertical="center"/>
    </xf>
    <xf numFmtId="3" fontId="15" fillId="0" borderId="44" xfId="45" applyNumberFormat="1" applyFont="1" applyFill="1" applyBorder="1" applyAlignment="1" applyProtection="1">
      <alignment vertical="center"/>
      <protection locked="0"/>
    </xf>
    <xf numFmtId="3" fontId="15" fillId="0" borderId="23" xfId="28" applyNumberFormat="1" applyFont="1" applyFill="1" applyBorder="1" applyAlignment="1">
      <alignment vertical="center"/>
    </xf>
    <xf numFmtId="3" fontId="15" fillId="0" borderId="44" xfId="28" applyNumberFormat="1" applyFont="1" applyFill="1" applyBorder="1" applyAlignment="1">
      <alignment vertical="center"/>
    </xf>
    <xf numFmtId="3" fontId="10" fillId="0" borderId="44" xfId="28" applyNumberFormat="1" applyFont="1" applyFill="1" applyBorder="1" applyAlignment="1">
      <alignment vertical="center"/>
    </xf>
    <xf numFmtId="3" fontId="10" fillId="0" borderId="44" xfId="13" applyNumberFormat="1" applyFont="1" applyBorder="1" applyAlignment="1">
      <alignment vertical="center"/>
    </xf>
    <xf numFmtId="3" fontId="10" fillId="0" borderId="131" xfId="13" applyNumberFormat="1" applyFont="1" applyBorder="1" applyAlignment="1">
      <alignment vertical="center"/>
    </xf>
    <xf numFmtId="3" fontId="15" fillId="0" borderId="23" xfId="20" applyNumberFormat="1" applyFont="1" applyBorder="1" applyAlignment="1" applyProtection="1">
      <alignment horizontal="right" vertical="center"/>
      <protection locked="0"/>
    </xf>
    <xf numFmtId="3" fontId="15" fillId="0" borderId="44" xfId="20" applyNumberFormat="1" applyFont="1" applyBorder="1" applyAlignment="1" applyProtection="1">
      <alignment horizontal="right" vertical="center"/>
      <protection locked="0"/>
    </xf>
    <xf numFmtId="3" fontId="9" fillId="7" borderId="26" xfId="13" applyNumberFormat="1" applyFont="1" applyFill="1" applyBorder="1" applyAlignment="1">
      <alignment vertical="center"/>
    </xf>
    <xf numFmtId="3" fontId="10" fillId="0" borderId="23" xfId="0" applyNumberFormat="1" applyFont="1" applyBorder="1" applyAlignment="1">
      <alignment vertical="center"/>
    </xf>
    <xf numFmtId="3" fontId="10" fillId="0" borderId="44" xfId="0" applyNumberFormat="1" applyFont="1" applyBorder="1" applyAlignment="1">
      <alignment vertical="center"/>
    </xf>
    <xf numFmtId="3" fontId="10" fillId="0" borderId="48" xfId="0" applyNumberFormat="1" applyFont="1" applyFill="1" applyBorder="1" applyAlignment="1">
      <alignment vertical="center"/>
    </xf>
    <xf numFmtId="3" fontId="9" fillId="2" borderId="26" xfId="0" applyNumberFormat="1" applyFont="1" applyFill="1" applyBorder="1" applyAlignment="1">
      <alignment vertical="center"/>
    </xf>
    <xf numFmtId="3" fontId="12" fillId="0" borderId="22" xfId="0" applyNumberFormat="1" applyFont="1" applyFill="1" applyBorder="1" applyAlignment="1">
      <alignment vertical="center"/>
    </xf>
    <xf numFmtId="3" fontId="12" fillId="7" borderId="22" xfId="0" applyNumberFormat="1" applyFont="1" applyFill="1" applyBorder="1" applyAlignment="1">
      <alignment vertical="center"/>
    </xf>
    <xf numFmtId="3" fontId="15" fillId="0" borderId="23" xfId="20" applyNumberFormat="1" applyFont="1" applyBorder="1" applyAlignment="1">
      <alignment horizontal="right" vertical="center"/>
    </xf>
    <xf numFmtId="3" fontId="15" fillId="0" borderId="44" xfId="20" applyNumberFormat="1" applyFont="1" applyBorder="1" applyAlignment="1">
      <alignment horizontal="right" vertical="center"/>
    </xf>
    <xf numFmtId="3" fontId="15" fillId="0" borderId="131" xfId="20" applyNumberFormat="1" applyFont="1" applyBorder="1" applyAlignment="1">
      <alignment horizontal="right" vertical="center"/>
    </xf>
    <xf numFmtId="3" fontId="15" fillId="0" borderId="131" xfId="20" applyNumberFormat="1" applyFont="1" applyBorder="1" applyAlignment="1">
      <alignment vertical="center"/>
    </xf>
    <xf numFmtId="3" fontId="10" fillId="0" borderId="54" xfId="29" applyNumberFormat="1" applyFont="1" applyBorder="1" applyAlignment="1">
      <alignment vertical="center"/>
    </xf>
    <xf numFmtId="3" fontId="10" fillId="0" borderId="44" xfId="29" applyNumberFormat="1" applyFont="1" applyBorder="1" applyAlignment="1">
      <alignment vertical="center"/>
    </xf>
    <xf numFmtId="164" fontId="37" fillId="0" borderId="0" xfId="13" applyNumberFormat="1" applyFill="1" applyBorder="1"/>
    <xf numFmtId="9" fontId="14" fillId="0" borderId="0" xfId="57" applyFont="1" applyFill="1" applyBorder="1" applyAlignment="1">
      <alignment horizontal="center" vertical="center"/>
    </xf>
    <xf numFmtId="0" fontId="54" fillId="0" borderId="129" xfId="0" applyFont="1" applyBorder="1" applyAlignment="1">
      <alignment vertical="center" wrapText="1"/>
    </xf>
    <xf numFmtId="0" fontId="54" fillId="0" borderId="130" xfId="0" applyFont="1" applyBorder="1" applyAlignment="1">
      <alignment vertical="center" wrapText="1"/>
    </xf>
    <xf numFmtId="0" fontId="39" fillId="10" borderId="146" xfId="0" applyFont="1" applyFill="1" applyBorder="1" applyAlignment="1">
      <alignment horizontal="center" vertical="center" wrapText="1"/>
    </xf>
    <xf numFmtId="0" fontId="0" fillId="0" borderId="147" xfId="0" applyBorder="1" applyAlignment="1">
      <alignment horizontal="center" vertical="center"/>
    </xf>
    <xf numFmtId="0" fontId="32" fillId="0" borderId="147" xfId="0" applyFont="1" applyBorder="1" applyAlignment="1">
      <alignment horizontal="center" vertical="center"/>
    </xf>
    <xf numFmtId="49" fontId="0" fillId="0" borderId="147" xfId="0" applyNumberFormat="1" applyBorder="1" applyAlignment="1">
      <alignment horizontal="center" vertical="center"/>
    </xf>
    <xf numFmtId="165" fontId="0" fillId="0" borderId="147" xfId="0" applyNumberFormat="1" applyBorder="1" applyAlignment="1">
      <alignment horizontal="center" vertical="center"/>
    </xf>
    <xf numFmtId="0" fontId="0" fillId="0" borderId="147" xfId="0" applyFont="1" applyBorder="1" applyAlignment="1">
      <alignment horizontal="center" vertical="center"/>
    </xf>
    <xf numFmtId="0" fontId="0" fillId="0" borderId="147" xfId="0" applyFill="1" applyBorder="1" applyAlignment="1">
      <alignment horizontal="center" vertical="center"/>
    </xf>
    <xf numFmtId="0" fontId="0" fillId="11" borderId="147" xfId="0" applyFill="1" applyBorder="1" applyAlignment="1">
      <alignment horizontal="center" vertical="center"/>
    </xf>
    <xf numFmtId="44" fontId="0" fillId="0" borderId="147" xfId="56" applyFont="1" applyFill="1" applyBorder="1" applyAlignment="1">
      <alignment horizontal="center" vertical="center"/>
    </xf>
    <xf numFmtId="44" fontId="42" fillId="0" borderId="147" xfId="56" applyFont="1" applyFill="1" applyBorder="1" applyAlignment="1">
      <alignment horizontal="center" vertical="center" wrapText="1"/>
    </xf>
    <xf numFmtId="0" fontId="42" fillId="0" borderId="147" xfId="0" applyFont="1" applyBorder="1" applyAlignment="1">
      <alignment horizontal="center" vertical="center" wrapText="1"/>
    </xf>
    <xf numFmtId="165" fontId="0" fillId="0" borderId="147" xfId="0" applyNumberFormat="1" applyBorder="1" applyAlignment="1">
      <alignment horizontal="center"/>
    </xf>
    <xf numFmtId="0" fontId="0" fillId="0" borderId="147" xfId="0" applyBorder="1" applyAlignment="1">
      <alignment horizontal="center"/>
    </xf>
    <xf numFmtId="0" fontId="32" fillId="0" borderId="147" xfId="0" applyFont="1" applyBorder="1" applyAlignment="1">
      <alignment horizontal="center"/>
    </xf>
    <xf numFmtId="44" fontId="0" fillId="0" borderId="147" xfId="0" applyNumberFormat="1" applyBorder="1" applyAlignment="1">
      <alignment horizontal="center"/>
    </xf>
    <xf numFmtId="0" fontId="39" fillId="10" borderId="99" xfId="0" applyFont="1" applyFill="1" applyBorder="1" applyAlignment="1">
      <alignment horizontal="center" vertical="center" wrapText="1"/>
    </xf>
    <xf numFmtId="0" fontId="40" fillId="0" borderId="5" xfId="0" applyFont="1" applyBorder="1" applyAlignment="1">
      <alignment horizontal="left" vertical="center" wrapText="1"/>
    </xf>
    <xf numFmtId="0" fontId="40" fillId="0" borderId="3" xfId="0" applyFont="1" applyBorder="1" applyAlignment="1">
      <alignment horizontal="left" vertical="center" wrapText="1"/>
    </xf>
    <xf numFmtId="0" fontId="0" fillId="0" borderId="104" xfId="0" applyBorder="1" applyAlignment="1">
      <alignment horizontal="center"/>
    </xf>
    <xf numFmtId="166" fontId="0" fillId="0" borderId="3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3" fontId="35" fillId="0" borderId="3" xfId="1" applyNumberFormat="1" applyFont="1" applyBorder="1"/>
    <xf numFmtId="170" fontId="35" fillId="0" borderId="105" xfId="1" applyNumberFormat="1" applyFont="1" applyBorder="1" applyAlignment="1">
      <alignment horizontal="center"/>
    </xf>
    <xf numFmtId="3" fontId="51" fillId="0" borderId="4" xfId="1" applyNumberFormat="1" applyFont="1" applyBorder="1"/>
    <xf numFmtId="170" fontId="51" fillId="0" borderId="7" xfId="1" applyNumberFormat="1" applyFont="1" applyBorder="1" applyAlignment="1">
      <alignment horizontal="center"/>
    </xf>
    <xf numFmtId="3" fontId="15" fillId="0" borderId="0" xfId="13" applyNumberFormat="1" applyFont="1" applyBorder="1" applyAlignment="1">
      <alignment horizontal="right" vertical="center"/>
    </xf>
    <xf numFmtId="3" fontId="12" fillId="0" borderId="10" xfId="0" applyNumberFormat="1" applyFont="1" applyFill="1" applyBorder="1" applyAlignment="1">
      <alignment horizontal="right" vertical="center"/>
    </xf>
    <xf numFmtId="3" fontId="12" fillId="0" borderId="22" xfId="0" applyNumberFormat="1" applyFont="1" applyFill="1" applyBorder="1" applyAlignment="1">
      <alignment horizontal="right" vertical="center"/>
    </xf>
    <xf numFmtId="3" fontId="9" fillId="2" borderId="41" xfId="30" applyNumberFormat="1" applyFont="1" applyFill="1" applyBorder="1" applyAlignment="1">
      <alignment horizontal="right" vertical="center"/>
    </xf>
    <xf numFmtId="0" fontId="40" fillId="0" borderId="102" xfId="0" applyFont="1" applyBorder="1" applyAlignment="1">
      <alignment horizontal="center" vertical="center"/>
    </xf>
    <xf numFmtId="166" fontId="40" fillId="0" borderId="2" xfId="0" applyNumberFormat="1" applyFont="1" applyBorder="1" applyAlignment="1">
      <alignment horizontal="center" vertical="center"/>
    </xf>
    <xf numFmtId="49" fontId="40" fillId="0" borderId="2" xfId="0" applyNumberFormat="1" applyFont="1" applyBorder="1" applyAlignment="1">
      <alignment horizontal="center" vertical="center"/>
    </xf>
    <xf numFmtId="3" fontId="40" fillId="0" borderId="2" xfId="1" applyNumberFormat="1" applyFont="1" applyBorder="1" applyAlignment="1">
      <alignment vertical="center"/>
    </xf>
    <xf numFmtId="170" fontId="40" fillId="0" borderId="103" xfId="1" applyNumberFormat="1" applyFont="1" applyBorder="1" applyAlignment="1">
      <alignment horizontal="center" vertical="center"/>
    </xf>
    <xf numFmtId="49" fontId="40" fillId="8" borderId="2" xfId="0" applyNumberFormat="1" applyFont="1" applyFill="1" applyBorder="1" applyAlignment="1">
      <alignment horizontal="center" vertical="center"/>
    </xf>
    <xf numFmtId="0" fontId="40" fillId="0" borderId="102" xfId="0" applyFont="1" applyBorder="1" applyAlignment="1">
      <alignment horizontal="center" vertical="center" wrapText="1"/>
    </xf>
    <xf numFmtId="0" fontId="40" fillId="0" borderId="148" xfId="0" applyFont="1" applyBorder="1" applyAlignment="1">
      <alignment horizontal="center" vertical="center"/>
    </xf>
    <xf numFmtId="166" fontId="40" fillId="0" borderId="5" xfId="0" applyNumberFormat="1" applyFont="1" applyBorder="1" applyAlignment="1">
      <alignment horizontal="center" vertical="center"/>
    </xf>
    <xf numFmtId="3" fontId="40" fillId="0" borderId="5" xfId="1" applyNumberFormat="1" applyFont="1" applyBorder="1" applyAlignment="1">
      <alignment vertical="center"/>
    </xf>
    <xf numFmtId="170" fontId="40" fillId="0" borderId="149" xfId="1" applyNumberFormat="1" applyFont="1" applyBorder="1" applyAlignment="1">
      <alignment horizontal="center" vertical="center"/>
    </xf>
    <xf numFmtId="0" fontId="40" fillId="0" borderId="104" xfId="0" applyFont="1" applyBorder="1" applyAlignment="1">
      <alignment horizontal="center" vertical="center"/>
    </xf>
    <xf numFmtId="166" fontId="40" fillId="0" borderId="3" xfId="0" applyNumberFormat="1" applyFont="1" applyBorder="1" applyAlignment="1">
      <alignment horizontal="center" vertical="center"/>
    </xf>
    <xf numFmtId="49" fontId="40" fillId="8" borderId="3" xfId="0" applyNumberFormat="1" applyFont="1" applyFill="1" applyBorder="1" applyAlignment="1">
      <alignment horizontal="center" vertical="center"/>
    </xf>
    <xf numFmtId="3" fontId="40" fillId="0" borderId="3" xfId="1" applyNumberFormat="1" applyFont="1" applyBorder="1" applyAlignment="1">
      <alignment vertical="center"/>
    </xf>
    <xf numFmtId="170" fontId="40" fillId="0" borderId="105" xfId="1" applyNumberFormat="1" applyFont="1" applyBorder="1" applyAlignment="1">
      <alignment horizontal="center" vertical="center"/>
    </xf>
    <xf numFmtId="0" fontId="40" fillId="0" borderId="102" xfId="0" applyFont="1" applyBorder="1" applyAlignment="1">
      <alignment horizontal="center"/>
    </xf>
    <xf numFmtId="166" fontId="40" fillId="0" borderId="2" xfId="0" applyNumberFormat="1" applyFont="1" applyBorder="1" applyAlignment="1">
      <alignment horizontal="center"/>
    </xf>
    <xf numFmtId="49" fontId="40" fillId="0" borderId="2" xfId="0" applyNumberFormat="1" applyFont="1" applyBorder="1" applyAlignment="1">
      <alignment horizontal="center"/>
    </xf>
    <xf numFmtId="3" fontId="40" fillId="0" borderId="2" xfId="1" applyNumberFormat="1" applyFont="1" applyBorder="1"/>
    <xf numFmtId="170" fontId="40" fillId="0" borderId="103" xfId="1" applyNumberFormat="1" applyFont="1" applyBorder="1" applyAlignment="1">
      <alignment horizontal="center"/>
    </xf>
    <xf numFmtId="49" fontId="40" fillId="8" borderId="2" xfId="0" applyNumberFormat="1" applyFont="1" applyFill="1" applyBorder="1" applyAlignment="1">
      <alignment horizontal="center"/>
    </xf>
    <xf numFmtId="49" fontId="15" fillId="9" borderId="31" xfId="42" applyNumberFormat="1" applyFont="1" applyFill="1" applyBorder="1" applyAlignment="1">
      <alignment vertical="center"/>
    </xf>
    <xf numFmtId="0" fontId="0" fillId="0" borderId="104" xfId="0" applyBorder="1" applyAlignment="1">
      <alignment horizontal="center" vertical="center"/>
    </xf>
    <xf numFmtId="165" fontId="0" fillId="0" borderId="150" xfId="0" applyNumberFormat="1" applyBorder="1" applyAlignment="1">
      <alignment horizontal="center" vertical="center"/>
    </xf>
    <xf numFmtId="49" fontId="40" fillId="0" borderId="3" xfId="0" applyNumberFormat="1" applyFont="1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165" fontId="0" fillId="0" borderId="151" xfId="0" applyNumberFormat="1" applyBorder="1" applyAlignment="1">
      <alignment horizontal="center" vertical="center"/>
    </xf>
    <xf numFmtId="49" fontId="40" fillId="0" borderId="5" xfId="0" applyNumberFormat="1" applyFont="1" applyBorder="1" applyAlignment="1">
      <alignment horizontal="center" vertical="center"/>
    </xf>
    <xf numFmtId="0" fontId="0" fillId="0" borderId="150" xfId="0" applyFill="1" applyBorder="1" applyAlignment="1">
      <alignment horizontal="center" vertical="center"/>
    </xf>
    <xf numFmtId="0" fontId="40" fillId="0" borderId="148" xfId="0" applyFont="1" applyBorder="1" applyAlignment="1">
      <alignment horizontal="center"/>
    </xf>
    <xf numFmtId="166" fontId="40" fillId="0" borderId="5" xfId="0" applyNumberFormat="1" applyFont="1" applyBorder="1" applyAlignment="1">
      <alignment horizontal="center"/>
    </xf>
    <xf numFmtId="49" fontId="40" fillId="0" borderId="5" xfId="0" applyNumberFormat="1" applyFont="1" applyBorder="1" applyAlignment="1">
      <alignment horizontal="center"/>
    </xf>
    <xf numFmtId="3" fontId="40" fillId="0" borderId="5" xfId="1" applyNumberFormat="1" applyFont="1" applyBorder="1"/>
    <xf numFmtId="170" fontId="40" fillId="0" borderId="149" xfId="1" applyNumberFormat="1" applyFont="1" applyBorder="1" applyAlignment="1">
      <alignment horizontal="center"/>
    </xf>
    <xf numFmtId="0" fontId="46" fillId="7" borderId="37" xfId="19" applyFont="1" applyFill="1" applyBorder="1" applyAlignment="1">
      <alignment vertical="center" wrapText="1"/>
    </xf>
    <xf numFmtId="49" fontId="0" fillId="0" borderId="147" xfId="56" applyNumberFormat="1" applyFont="1" applyFill="1" applyBorder="1" applyAlignment="1">
      <alignment horizontal="center" vertical="center"/>
    </xf>
    <xf numFmtId="0" fontId="15" fillId="9" borderId="25" xfId="42" applyFont="1" applyFill="1" applyBorder="1" applyAlignment="1">
      <alignment horizontal="center" vertical="center"/>
    </xf>
    <xf numFmtId="0" fontId="15" fillId="9" borderId="34" xfId="42" applyFont="1" applyFill="1" applyBorder="1" applyAlignment="1">
      <alignment horizontal="center" vertical="center"/>
    </xf>
    <xf numFmtId="49" fontId="45" fillId="7" borderId="100" xfId="53" applyNumberFormat="1" applyFont="1" applyFill="1" applyBorder="1" applyAlignment="1">
      <alignment horizontal="center" vertical="center"/>
    </xf>
    <xf numFmtId="3" fontId="44" fillId="0" borderId="0" xfId="53" applyNumberFormat="1" applyFont="1" applyFill="1" applyAlignment="1">
      <alignment horizontal="center"/>
    </xf>
    <xf numFmtId="3" fontId="44" fillId="0" borderId="0" xfId="53" applyNumberFormat="1" applyFont="1" applyAlignment="1">
      <alignment horizontal="center"/>
    </xf>
    <xf numFmtId="3" fontId="87" fillId="0" borderId="0" xfId="53" applyNumberFormat="1" applyFont="1" applyFill="1" applyAlignment="1">
      <alignment horizontal="center"/>
    </xf>
    <xf numFmtId="3" fontId="87" fillId="0" borderId="0" xfId="53" applyNumberFormat="1" applyFont="1" applyAlignment="1">
      <alignment horizontal="center"/>
    </xf>
    <xf numFmtId="0" fontId="87" fillId="0" borderId="0" xfId="53" applyFont="1" applyFill="1" applyAlignment="1">
      <alignment horizontal="center"/>
    </xf>
    <xf numFmtId="0" fontId="44" fillId="0" borderId="0" xfId="53" applyFont="1"/>
    <xf numFmtId="0" fontId="44" fillId="0" borderId="0" xfId="53" applyFont="1" applyFill="1" applyAlignment="1">
      <alignment vertical="center"/>
    </xf>
    <xf numFmtId="0" fontId="45" fillId="7" borderId="3" xfId="53" applyFont="1" applyFill="1" applyBorder="1" applyAlignment="1">
      <alignment horizontal="center"/>
    </xf>
    <xf numFmtId="3" fontId="45" fillId="7" borderId="3" xfId="53" applyNumberFormat="1" applyFont="1" applyFill="1" applyBorder="1" applyAlignment="1">
      <alignment horizontal="center" vertical="center"/>
    </xf>
    <xf numFmtId="0" fontId="45" fillId="7" borderId="105" xfId="53" applyFont="1" applyFill="1" applyBorder="1" applyAlignment="1">
      <alignment horizontal="center"/>
    </xf>
    <xf numFmtId="4" fontId="44" fillId="0" borderId="2" xfId="53" applyNumberFormat="1" applyFont="1" applyFill="1" applyBorder="1" applyAlignment="1">
      <alignment horizontal="center" vertical="center"/>
    </xf>
    <xf numFmtId="4" fontId="45" fillId="9" borderId="103" xfId="53" applyNumberFormat="1" applyFont="1" applyFill="1" applyBorder="1" applyAlignment="1">
      <alignment horizontal="center" vertical="center"/>
    </xf>
    <xf numFmtId="3" fontId="44" fillId="0" borderId="0" xfId="53" applyNumberFormat="1" applyFont="1" applyAlignment="1">
      <alignment vertical="center"/>
    </xf>
    <xf numFmtId="0" fontId="44" fillId="0" borderId="0" xfId="53" applyFont="1" applyAlignment="1">
      <alignment vertical="center"/>
    </xf>
    <xf numFmtId="4" fontId="44" fillId="0" borderId="0" xfId="53" applyNumberFormat="1" applyFont="1" applyAlignment="1">
      <alignment vertical="center"/>
    </xf>
    <xf numFmtId="4" fontId="44" fillId="17" borderId="2" xfId="53" applyNumberFormat="1" applyFont="1" applyFill="1" applyBorder="1" applyAlignment="1">
      <alignment horizontal="center" vertical="center"/>
    </xf>
    <xf numFmtId="3" fontId="44" fillId="17" borderId="2" xfId="53" applyNumberFormat="1" applyFont="1" applyFill="1" applyBorder="1" applyAlignment="1">
      <alignment horizontal="center" vertical="center"/>
    </xf>
    <xf numFmtId="4" fontId="45" fillId="9" borderId="2" xfId="53" applyNumberFormat="1" applyFont="1" applyFill="1" applyBorder="1" applyAlignment="1">
      <alignment horizontal="center" vertical="center"/>
    </xf>
    <xf numFmtId="0" fontId="63" fillId="0" borderId="102" xfId="11" applyFont="1" applyFill="1" applyBorder="1"/>
    <xf numFmtId="4" fontId="45" fillId="0" borderId="2" xfId="53" applyNumberFormat="1" applyFont="1" applyFill="1" applyBorder="1" applyAlignment="1">
      <alignment horizontal="center" vertical="center"/>
    </xf>
    <xf numFmtId="4" fontId="87" fillId="0" borderId="2" xfId="53" applyNumberFormat="1" applyFont="1" applyFill="1" applyBorder="1" applyAlignment="1">
      <alignment horizontal="center" vertical="center"/>
    </xf>
    <xf numFmtId="0" fontId="44" fillId="0" borderId="102" xfId="53" applyFont="1" applyFill="1" applyBorder="1" applyAlignment="1">
      <alignment horizontal="left" vertical="center" wrapText="1"/>
    </xf>
    <xf numFmtId="3" fontId="44" fillId="0" borderId="0" xfId="53" applyNumberFormat="1" applyFont="1" applyFill="1" applyAlignment="1">
      <alignment vertical="center"/>
    </xf>
    <xf numFmtId="0" fontId="44" fillId="0" borderId="102" xfId="53" applyFont="1" applyFill="1" applyBorder="1" applyAlignment="1">
      <alignment vertical="center"/>
    </xf>
    <xf numFmtId="0" fontId="44" fillId="0" borderId="104" xfId="53" applyFont="1" applyFill="1" applyBorder="1" applyAlignment="1">
      <alignment horizontal="left" vertical="center" wrapText="1"/>
    </xf>
    <xf numFmtId="3" fontId="44" fillId="0" borderId="3" xfId="53" applyNumberFormat="1" applyFont="1" applyFill="1" applyBorder="1" applyAlignment="1">
      <alignment horizontal="center" vertical="center"/>
    </xf>
    <xf numFmtId="3" fontId="45" fillId="0" borderId="3" xfId="53" applyNumberFormat="1" applyFont="1" applyFill="1" applyBorder="1" applyAlignment="1">
      <alignment horizontal="center" vertical="center"/>
    </xf>
    <xf numFmtId="0" fontId="45" fillId="0" borderId="106" xfId="53" applyFont="1" applyFill="1" applyBorder="1" applyAlignment="1">
      <alignment horizontal="left" vertical="center" wrapText="1"/>
    </xf>
    <xf numFmtId="3" fontId="45" fillId="0" borderId="107" xfId="53" applyNumberFormat="1" applyFont="1" applyFill="1" applyBorder="1" applyAlignment="1">
      <alignment horizontal="center" vertical="center"/>
    </xf>
    <xf numFmtId="3" fontId="45" fillId="7" borderId="107" xfId="53" applyNumberFormat="1" applyFont="1" applyFill="1" applyBorder="1" applyAlignment="1">
      <alignment horizontal="center" vertical="center"/>
    </xf>
    <xf numFmtId="3" fontId="45" fillId="9" borderId="107" xfId="53" applyNumberFormat="1" applyFont="1" applyFill="1" applyBorder="1" applyAlignment="1">
      <alignment horizontal="center" vertical="center"/>
    </xf>
    <xf numFmtId="3" fontId="45" fillId="9" borderId="108" xfId="53" applyNumberFormat="1" applyFont="1" applyFill="1" applyBorder="1" applyAlignment="1">
      <alignment horizontal="center" vertical="center"/>
    </xf>
    <xf numFmtId="0" fontId="44" fillId="0" borderId="0" xfId="53" applyFont="1" applyFill="1" applyAlignment="1"/>
    <xf numFmtId="3" fontId="44" fillId="0" borderId="0" xfId="53" applyNumberFormat="1" applyFont="1" applyFill="1" applyBorder="1" applyAlignment="1">
      <alignment horizontal="center"/>
    </xf>
    <xf numFmtId="3" fontId="44" fillId="0" borderId="0" xfId="53" applyNumberFormat="1" applyFont="1" applyFill="1"/>
    <xf numFmtId="3" fontId="44" fillId="0" borderId="109" xfId="53" applyNumberFormat="1" applyFont="1" applyFill="1" applyBorder="1"/>
    <xf numFmtId="0" fontId="44" fillId="0" borderId="0" xfId="53" applyFont="1" applyFill="1"/>
    <xf numFmtId="0" fontId="45" fillId="14" borderId="99" xfId="53" applyFont="1" applyFill="1" applyBorder="1" applyAlignment="1">
      <alignment vertical="center"/>
    </xf>
    <xf numFmtId="3" fontId="44" fillId="14" borderId="100" xfId="53" applyNumberFormat="1" applyFont="1" applyFill="1" applyBorder="1" applyAlignment="1">
      <alignment horizontal="center" vertical="center"/>
    </xf>
    <xf numFmtId="3" fontId="45" fillId="14" borderId="100" xfId="53" applyNumberFormat="1" applyFont="1" applyFill="1" applyBorder="1" applyAlignment="1">
      <alignment horizontal="center" vertical="center"/>
    </xf>
    <xf numFmtId="3" fontId="88" fillId="14" borderId="100" xfId="53" applyNumberFormat="1" applyFont="1" applyFill="1" applyBorder="1" applyAlignment="1">
      <alignment horizontal="center" vertical="center"/>
    </xf>
    <xf numFmtId="3" fontId="45" fillId="14" borderId="101" xfId="53" applyNumberFormat="1" applyFont="1" applyFill="1" applyBorder="1" applyAlignment="1">
      <alignment horizontal="center" vertical="center"/>
    </xf>
    <xf numFmtId="3" fontId="44" fillId="0" borderId="2" xfId="53" applyNumberFormat="1" applyFont="1" applyFill="1" applyBorder="1" applyAlignment="1">
      <alignment horizontal="center" vertical="center"/>
    </xf>
    <xf numFmtId="3" fontId="88" fillId="0" borderId="2" xfId="53" applyNumberFormat="1" applyFont="1" applyFill="1" applyBorder="1" applyAlignment="1">
      <alignment horizontal="center" vertical="center"/>
    </xf>
    <xf numFmtId="3" fontId="45" fillId="0" borderId="2" xfId="53" applyNumberFormat="1" applyFont="1" applyFill="1" applyBorder="1" applyAlignment="1">
      <alignment horizontal="center" vertical="center"/>
    </xf>
    <xf numFmtId="3" fontId="45" fillId="0" borderId="103" xfId="53" applyNumberFormat="1" applyFont="1" applyFill="1" applyBorder="1" applyAlignment="1">
      <alignment horizontal="center" vertical="center"/>
    </xf>
    <xf numFmtId="171" fontId="44" fillId="0" borderId="2" xfId="53" applyNumberFormat="1" applyFont="1" applyFill="1" applyBorder="1" applyAlignment="1">
      <alignment horizontal="center" vertical="center"/>
    </xf>
    <xf numFmtId="4" fontId="45" fillId="0" borderId="103" xfId="53" applyNumberFormat="1" applyFont="1" applyFill="1" applyBorder="1" applyAlignment="1">
      <alignment horizontal="center" vertical="center"/>
    </xf>
    <xf numFmtId="3" fontId="88" fillId="0" borderId="3" xfId="53" applyNumberFormat="1" applyFont="1" applyFill="1" applyBorder="1" applyAlignment="1">
      <alignment horizontal="center" vertical="center"/>
    </xf>
    <xf numFmtId="3" fontId="45" fillId="0" borderId="105" xfId="53" applyNumberFormat="1" applyFont="1" applyFill="1" applyBorder="1" applyAlignment="1">
      <alignment horizontal="center" vertical="center"/>
    </xf>
    <xf numFmtId="0" fontId="44" fillId="0" borderId="106" xfId="53" applyFont="1" applyFill="1" applyBorder="1" applyAlignment="1">
      <alignment vertical="center"/>
    </xf>
    <xf numFmtId="3" fontId="44" fillId="0" borderId="107" xfId="53" applyNumberFormat="1" applyFont="1" applyFill="1" applyBorder="1" applyAlignment="1">
      <alignment horizontal="center" vertical="center"/>
    </xf>
    <xf numFmtId="3" fontId="45" fillId="17" borderId="107" xfId="53" applyNumberFormat="1" applyFont="1" applyFill="1" applyBorder="1" applyAlignment="1">
      <alignment horizontal="center" vertical="center"/>
    </xf>
    <xf numFmtId="3" fontId="45" fillId="0" borderId="108" xfId="53" applyNumberFormat="1" applyFont="1" applyFill="1" applyBorder="1" applyAlignment="1">
      <alignment horizontal="center" vertical="center"/>
    </xf>
    <xf numFmtId="3" fontId="87" fillId="0" borderId="0" xfId="53" applyNumberFormat="1" applyFont="1" applyAlignment="1">
      <alignment vertical="center"/>
    </xf>
    <xf numFmtId="0" fontId="87" fillId="0" borderId="0" xfId="53" applyFont="1" applyAlignment="1">
      <alignment vertical="center"/>
    </xf>
    <xf numFmtId="0" fontId="44" fillId="0" borderId="0" xfId="53" applyFont="1" applyAlignment="1"/>
    <xf numFmtId="3" fontId="44" fillId="0" borderId="0" xfId="53" applyNumberFormat="1" applyFont="1" applyBorder="1" applyAlignment="1">
      <alignment horizontal="center"/>
    </xf>
    <xf numFmtId="3" fontId="44" fillId="0" borderId="0" xfId="53" applyNumberFormat="1" applyFont="1"/>
    <xf numFmtId="0" fontId="46" fillId="18" borderId="43" xfId="53" applyFont="1" applyFill="1" applyBorder="1" applyAlignment="1"/>
    <xf numFmtId="3" fontId="46" fillId="18" borderId="4" xfId="53" applyNumberFormat="1" applyFont="1" applyFill="1" applyBorder="1" applyAlignment="1">
      <alignment horizontal="center"/>
    </xf>
    <xf numFmtId="3" fontId="46" fillId="7" borderId="4" xfId="53" applyNumberFormat="1" applyFont="1" applyFill="1" applyBorder="1" applyAlignment="1">
      <alignment horizontal="center"/>
    </xf>
    <xf numFmtId="3" fontId="46" fillId="9" borderId="4" xfId="53" applyNumberFormat="1" applyFont="1" applyFill="1" applyBorder="1" applyAlignment="1">
      <alignment horizontal="center"/>
    </xf>
    <xf numFmtId="3" fontId="46" fillId="9" borderId="7" xfId="53" applyNumberFormat="1" applyFont="1" applyFill="1" applyBorder="1" applyAlignment="1">
      <alignment horizontal="center"/>
    </xf>
    <xf numFmtId="3" fontId="45" fillId="0" borderId="0" xfId="53" applyNumberFormat="1" applyFont="1"/>
    <xf numFmtId="0" fontId="45" fillId="0" borderId="0" xfId="53" applyFont="1"/>
    <xf numFmtId="0" fontId="44" fillId="0" borderId="0" xfId="53" applyFont="1" applyFill="1" applyAlignment="1">
      <alignment horizontal="center"/>
    </xf>
    <xf numFmtId="0" fontId="45" fillId="0" borderId="0" xfId="53" applyFont="1" applyFill="1" applyAlignment="1">
      <alignment horizontal="left"/>
    </xf>
    <xf numFmtId="0" fontId="44" fillId="0" borderId="43" xfId="53" applyFont="1" applyFill="1" applyBorder="1" applyAlignment="1">
      <alignment horizontal="left" vertical="center" wrapText="1"/>
    </xf>
    <xf numFmtId="3" fontId="44" fillId="0" borderId="7" xfId="53" applyNumberFormat="1" applyFont="1" applyFill="1" applyBorder="1" applyAlignment="1">
      <alignment horizontal="center" vertical="center"/>
    </xf>
    <xf numFmtId="3" fontId="44" fillId="0" borderId="110" xfId="53" applyNumberFormat="1" applyFont="1" applyFill="1" applyBorder="1" applyAlignment="1">
      <alignment horizontal="center" vertical="center"/>
    </xf>
    <xf numFmtId="3" fontId="45" fillId="0" borderId="4" xfId="53" applyNumberFormat="1" applyFont="1" applyFill="1" applyBorder="1" applyAlignment="1">
      <alignment horizontal="center" vertical="center"/>
    </xf>
    <xf numFmtId="3" fontId="44" fillId="0" borderId="4" xfId="53" applyNumberFormat="1" applyFont="1" applyFill="1" applyBorder="1" applyAlignment="1">
      <alignment horizontal="center" vertical="center"/>
    </xf>
    <xf numFmtId="3" fontId="44" fillId="2" borderId="4" xfId="53" applyNumberFormat="1" applyFont="1" applyFill="1" applyBorder="1" applyAlignment="1">
      <alignment horizontal="center" vertical="center"/>
    </xf>
    <xf numFmtId="3" fontId="44" fillId="0" borderId="111" xfId="53" applyNumberFormat="1" applyFont="1" applyFill="1" applyBorder="1" applyAlignment="1">
      <alignment horizontal="center" vertical="center"/>
    </xf>
    <xf numFmtId="3" fontId="45" fillId="0" borderId="43" xfId="53" applyNumberFormat="1" applyFont="1" applyFill="1" applyBorder="1" applyAlignment="1">
      <alignment horizontal="center" vertical="center"/>
    </xf>
    <xf numFmtId="3" fontId="45" fillId="9" borderId="43" xfId="53" applyNumberFormat="1" applyFont="1" applyFill="1" applyBorder="1" applyAlignment="1">
      <alignment horizontal="center" vertical="center"/>
    </xf>
    <xf numFmtId="3" fontId="44" fillId="9" borderId="4" xfId="53" applyNumberFormat="1" applyFont="1" applyFill="1" applyBorder="1" applyAlignment="1">
      <alignment horizontal="center" vertical="center"/>
    </xf>
    <xf numFmtId="3" fontId="44" fillId="9" borderId="7" xfId="53" applyNumberFormat="1" applyFont="1" applyFill="1" applyBorder="1" applyAlignment="1">
      <alignment horizontal="center" vertical="center"/>
    </xf>
    <xf numFmtId="3" fontId="44" fillId="9" borderId="43" xfId="53" applyNumberFormat="1" applyFont="1" applyFill="1" applyBorder="1" applyAlignment="1">
      <alignment horizontal="center" vertical="center"/>
    </xf>
    <xf numFmtId="3" fontId="45" fillId="0" borderId="110" xfId="53" applyNumberFormat="1" applyFont="1" applyFill="1" applyBorder="1" applyAlignment="1">
      <alignment horizontal="center" vertical="center"/>
    </xf>
    <xf numFmtId="0" fontId="45" fillId="19" borderId="43" xfId="53" applyFont="1" applyFill="1" applyBorder="1" applyAlignment="1"/>
    <xf numFmtId="3" fontId="45" fillId="19" borderId="4" xfId="53" applyNumberFormat="1" applyFont="1" applyFill="1" applyBorder="1" applyAlignment="1">
      <alignment horizontal="center"/>
    </xf>
    <xf numFmtId="3" fontId="45" fillId="19" borderId="111" xfId="53" applyNumberFormat="1" applyFont="1" applyFill="1" applyBorder="1" applyAlignment="1">
      <alignment horizontal="center"/>
    </xf>
    <xf numFmtId="3" fontId="45" fillId="19" borderId="43" xfId="53" applyNumberFormat="1" applyFont="1" applyFill="1" applyBorder="1" applyAlignment="1">
      <alignment horizontal="center"/>
    </xf>
    <xf numFmtId="3" fontId="87" fillId="19" borderId="4" xfId="53" applyNumberFormat="1" applyFont="1" applyFill="1" applyBorder="1" applyAlignment="1">
      <alignment horizontal="center"/>
    </xf>
    <xf numFmtId="3" fontId="87" fillId="19" borderId="7" xfId="53" applyNumberFormat="1" applyFont="1" applyFill="1" applyBorder="1" applyAlignment="1">
      <alignment horizontal="center"/>
    </xf>
    <xf numFmtId="3" fontId="88" fillId="9" borderId="7" xfId="53" applyNumberFormat="1" applyFont="1" applyFill="1" applyBorder="1" applyAlignment="1">
      <alignment horizontal="center"/>
    </xf>
    <xf numFmtId="3" fontId="45" fillId="19" borderId="110" xfId="53" applyNumberFormat="1" applyFont="1" applyFill="1" applyBorder="1" applyAlignment="1">
      <alignment horizontal="center"/>
    </xf>
    <xf numFmtId="3" fontId="87" fillId="9" borderId="7" xfId="53" applyNumberFormat="1" applyFont="1" applyFill="1" applyBorder="1" applyAlignment="1">
      <alignment horizontal="center"/>
    </xf>
    <xf numFmtId="0" fontId="44" fillId="0" borderId="0" xfId="53" applyFont="1" applyFill="1" applyBorder="1" applyAlignment="1">
      <alignment horizontal="left" vertical="center" wrapText="1"/>
    </xf>
    <xf numFmtId="3" fontId="44" fillId="0" borderId="0" xfId="53" applyNumberFormat="1" applyFont="1" applyFill="1" applyBorder="1" applyAlignment="1">
      <alignment horizontal="center" vertical="center"/>
    </xf>
    <xf numFmtId="3" fontId="45" fillId="0" borderId="0" xfId="53" applyNumberFormat="1" applyFont="1" applyFill="1" applyBorder="1" applyAlignment="1">
      <alignment horizontal="center" vertical="center"/>
    </xf>
    <xf numFmtId="3" fontId="44" fillId="0" borderId="0" xfId="53" applyNumberFormat="1" applyFont="1" applyFill="1" applyBorder="1"/>
    <xf numFmtId="3" fontId="87" fillId="0" borderId="0" xfId="53" applyNumberFormat="1" applyFont="1" applyFill="1" applyBorder="1"/>
    <xf numFmtId="3" fontId="44" fillId="0" borderId="0" xfId="53" applyNumberFormat="1" applyFont="1" applyBorder="1"/>
    <xf numFmtId="0" fontId="44" fillId="0" borderId="0" xfId="53" applyFont="1" applyBorder="1"/>
    <xf numFmtId="0" fontId="45" fillId="9" borderId="43" xfId="53" applyFont="1" applyFill="1" applyBorder="1" applyAlignment="1"/>
    <xf numFmtId="3" fontId="45" fillId="9" borderId="4" xfId="53" applyNumberFormat="1" applyFont="1" applyFill="1" applyBorder="1" applyAlignment="1">
      <alignment horizontal="center"/>
    </xf>
    <xf numFmtId="3" fontId="87" fillId="9" borderId="4" xfId="53" applyNumberFormat="1" applyFont="1" applyFill="1" applyBorder="1" applyAlignment="1">
      <alignment horizontal="center"/>
    </xf>
    <xf numFmtId="3" fontId="88" fillId="9" borderId="4" xfId="53" applyNumberFormat="1" applyFont="1" applyFill="1" applyBorder="1" applyAlignment="1">
      <alignment horizontal="center"/>
    </xf>
    <xf numFmtId="0" fontId="63" fillId="0" borderId="0" xfId="13" applyFont="1"/>
    <xf numFmtId="49" fontId="44" fillId="0" borderId="0" xfId="53" applyNumberFormat="1" applyFont="1" applyFill="1" applyAlignment="1">
      <alignment horizontal="left"/>
    </xf>
    <xf numFmtId="0" fontId="44" fillId="0" borderId="0" xfId="53" applyFont="1" applyFill="1" applyBorder="1" applyAlignment="1">
      <alignment horizontal="center"/>
    </xf>
    <xf numFmtId="0" fontId="44" fillId="14" borderId="0" xfId="53" applyFont="1" applyFill="1"/>
    <xf numFmtId="0" fontId="63" fillId="14" borderId="0" xfId="13" applyFont="1" applyFill="1" applyAlignment="1">
      <alignment horizontal="right"/>
    </xf>
    <xf numFmtId="4" fontId="45" fillId="14" borderId="0" xfId="53" applyNumberFormat="1" applyFont="1" applyFill="1"/>
    <xf numFmtId="0" fontId="44" fillId="0" borderId="0" xfId="53" applyFont="1" applyFill="1" applyAlignment="1">
      <alignment horizontal="left"/>
    </xf>
    <xf numFmtId="14" fontId="44" fillId="0" borderId="0" xfId="53" applyNumberFormat="1" applyFont="1" applyFill="1" applyAlignment="1">
      <alignment horizontal="center"/>
    </xf>
    <xf numFmtId="14" fontId="44" fillId="0" borderId="0" xfId="53" applyNumberFormat="1" applyFont="1" applyFill="1" applyAlignment="1">
      <alignment horizontal="left"/>
    </xf>
    <xf numFmtId="49" fontId="10" fillId="7" borderId="25" xfId="13" applyNumberFormat="1" applyFont="1" applyFill="1" applyBorder="1" applyAlignment="1">
      <alignment vertical="center"/>
    </xf>
    <xf numFmtId="49" fontId="10" fillId="7" borderId="24" xfId="13" applyNumberFormat="1" applyFont="1" applyFill="1" applyBorder="1" applyAlignment="1">
      <alignment vertical="center"/>
    </xf>
    <xf numFmtId="49" fontId="10" fillId="7" borderId="34" xfId="13" applyNumberFormat="1" applyFont="1" applyFill="1" applyBorder="1" applyAlignment="1">
      <alignment vertical="center"/>
    </xf>
    <xf numFmtId="49" fontId="10" fillId="7" borderId="31" xfId="13" applyNumberFormat="1" applyFont="1" applyFill="1" applyBorder="1" applyAlignment="1">
      <alignment vertical="center"/>
    </xf>
    <xf numFmtId="49" fontId="10" fillId="7" borderId="47" xfId="13" applyNumberFormat="1" applyFont="1" applyFill="1" applyBorder="1" applyAlignment="1">
      <alignment vertical="center"/>
    </xf>
    <xf numFmtId="49" fontId="10" fillId="7" borderId="30" xfId="13" applyNumberFormat="1" applyFont="1" applyFill="1" applyBorder="1" applyAlignment="1">
      <alignment vertical="center"/>
    </xf>
    <xf numFmtId="0" fontId="0" fillId="0" borderId="150" xfId="0" applyBorder="1" applyAlignment="1">
      <alignment horizontal="center" vertical="center"/>
    </xf>
    <xf numFmtId="0" fontId="45" fillId="7" borderId="100" xfId="53" applyFont="1" applyFill="1" applyBorder="1" applyAlignment="1">
      <alignment horizontal="center"/>
    </xf>
    <xf numFmtId="0" fontId="45" fillId="7" borderId="2" xfId="53" applyFont="1" applyFill="1" applyBorder="1" applyAlignment="1">
      <alignment horizontal="center" vertical="center"/>
    </xf>
    <xf numFmtId="4" fontId="45" fillId="9" borderId="3" xfId="53" applyNumberFormat="1" applyFont="1" applyFill="1" applyBorder="1" applyAlignment="1">
      <alignment horizontal="center" vertical="center"/>
    </xf>
    <xf numFmtId="4" fontId="45" fillId="17" borderId="103" xfId="53" applyNumberFormat="1" applyFont="1" applyFill="1" applyBorder="1" applyAlignment="1">
      <alignment horizontal="center" vertical="center"/>
    </xf>
    <xf numFmtId="0" fontId="44" fillId="0" borderId="0" xfId="53" applyFont="1" applyBorder="1" applyAlignment="1">
      <alignment vertical="center"/>
    </xf>
    <xf numFmtId="0" fontId="63" fillId="0" borderId="102" xfId="13" applyFont="1" applyFill="1" applyBorder="1" applyAlignment="1">
      <alignment vertical="center"/>
    </xf>
    <xf numFmtId="43" fontId="89" fillId="0" borderId="3" xfId="1" applyFont="1" applyFill="1" applyBorder="1" applyAlignment="1">
      <alignment horizontal="center" vertical="center"/>
    </xf>
    <xf numFmtId="43" fontId="44" fillId="0" borderId="3" xfId="1" applyFont="1" applyFill="1" applyBorder="1" applyAlignment="1">
      <alignment horizontal="center" vertical="center"/>
    </xf>
    <xf numFmtId="43" fontId="45" fillId="0" borderId="3" xfId="1" applyFont="1" applyFill="1" applyBorder="1" applyAlignment="1">
      <alignment horizontal="center" vertical="center"/>
    </xf>
    <xf numFmtId="43" fontId="89" fillId="0" borderId="3" xfId="1" applyNumberFormat="1" applyFont="1" applyFill="1" applyBorder="1" applyAlignment="1">
      <alignment horizontal="center" vertical="center"/>
    </xf>
    <xf numFmtId="4" fontId="45" fillId="17" borderId="2" xfId="53" applyNumberFormat="1" applyFont="1" applyFill="1" applyBorder="1" applyAlignment="1">
      <alignment horizontal="center" vertical="center"/>
    </xf>
    <xf numFmtId="169" fontId="38" fillId="0" borderId="2" xfId="2" applyNumberFormat="1" applyFont="1" applyFill="1" applyBorder="1" applyAlignment="1">
      <alignment horizontal="center"/>
    </xf>
    <xf numFmtId="3" fontId="10" fillId="0" borderId="24" xfId="13" applyNumberFormat="1" applyFont="1" applyBorder="1" applyAlignment="1">
      <alignment horizontal="right" vertical="center"/>
    </xf>
    <xf numFmtId="3" fontId="10" fillId="0" borderId="23" xfId="13" applyNumberFormat="1" applyFont="1" applyBorder="1" applyAlignment="1">
      <alignment horizontal="right" vertical="center"/>
    </xf>
    <xf numFmtId="3" fontId="10" fillId="0" borderId="17" xfId="13" applyNumberFormat="1" applyFont="1" applyBorder="1" applyAlignment="1">
      <alignment horizontal="right" vertical="center"/>
    </xf>
    <xf numFmtId="3" fontId="10" fillId="0" borderId="27" xfId="13" applyNumberFormat="1" applyFont="1" applyBorder="1" applyAlignment="1">
      <alignment horizontal="right" vertical="center"/>
    </xf>
    <xf numFmtId="3" fontId="9" fillId="2" borderId="28" xfId="13" applyNumberFormat="1" applyFont="1" applyFill="1" applyBorder="1" applyAlignment="1">
      <alignment horizontal="center" vertical="justify"/>
    </xf>
    <xf numFmtId="3" fontId="9" fillId="2" borderId="27" xfId="13" applyNumberFormat="1" applyFont="1" applyFill="1" applyBorder="1" applyAlignment="1">
      <alignment horizontal="center" vertical="justify"/>
    </xf>
    <xf numFmtId="3" fontId="9" fillId="2" borderId="26" xfId="13" applyNumberFormat="1" applyFont="1" applyFill="1" applyBorder="1" applyAlignment="1">
      <alignment horizontal="center" vertical="justify"/>
    </xf>
    <xf numFmtId="49" fontId="10" fillId="0" borderId="37" xfId="13" applyNumberFormat="1" applyFont="1" applyFill="1" applyBorder="1" applyAlignment="1">
      <alignment horizontal="center" vertical="center"/>
    </xf>
    <xf numFmtId="3" fontId="22" fillId="0" borderId="0" xfId="13" applyNumberFormat="1" applyFont="1" applyFill="1" applyAlignment="1">
      <alignment vertical="center"/>
    </xf>
    <xf numFmtId="3" fontId="34" fillId="0" borderId="22" xfId="0" applyNumberFormat="1" applyFont="1" applyFill="1" applyBorder="1" applyAlignment="1">
      <alignment vertical="center"/>
    </xf>
    <xf numFmtId="0" fontId="10" fillId="0" borderId="45" xfId="13" applyFont="1" applyFill="1" applyBorder="1" applyAlignment="1">
      <alignment horizontal="center" vertical="center"/>
    </xf>
    <xf numFmtId="0" fontId="10" fillId="0" borderId="50" xfId="13" applyFont="1" applyFill="1" applyBorder="1" applyAlignment="1">
      <alignment horizontal="center" vertical="center"/>
    </xf>
    <xf numFmtId="0" fontId="10" fillId="7" borderId="25" xfId="13" applyFont="1" applyFill="1" applyBorder="1" applyAlignment="1">
      <alignment horizontal="center" vertical="center"/>
    </xf>
    <xf numFmtId="0" fontId="10" fillId="7" borderId="24" xfId="13" applyFont="1" applyFill="1" applyBorder="1" applyAlignment="1">
      <alignment horizontal="center" vertical="center"/>
    </xf>
    <xf numFmtId="0" fontId="10" fillId="7" borderId="47" xfId="13" applyFont="1" applyFill="1" applyBorder="1" applyAlignment="1">
      <alignment horizontal="center" vertical="center"/>
    </xf>
    <xf numFmtId="0" fontId="10" fillId="7" borderId="30" xfId="13" applyFont="1" applyFill="1" applyBorder="1" applyAlignment="1">
      <alignment horizontal="center" vertical="center"/>
    </xf>
    <xf numFmtId="0" fontId="9" fillId="7" borderId="33" xfId="13" applyFont="1" applyFill="1" applyBorder="1" applyAlignment="1">
      <alignment vertical="center"/>
    </xf>
    <xf numFmtId="43" fontId="1" fillId="0" borderId="0" xfId="1" applyFont="1" applyFill="1" applyAlignment="1">
      <alignment vertical="center"/>
    </xf>
    <xf numFmtId="0" fontId="10" fillId="7" borderId="59" xfId="13" applyFont="1" applyFill="1" applyBorder="1" applyAlignment="1">
      <alignment horizontal="center" vertical="center"/>
    </xf>
    <xf numFmtId="0" fontId="10" fillId="7" borderId="19" xfId="13" applyFont="1" applyFill="1" applyBorder="1" applyAlignment="1">
      <alignment horizontal="center" vertical="center"/>
    </xf>
    <xf numFmtId="49" fontId="10" fillId="7" borderId="19" xfId="13" applyNumberFormat="1" applyFont="1" applyFill="1" applyBorder="1" applyAlignment="1">
      <alignment horizontal="center" vertical="center"/>
    </xf>
    <xf numFmtId="0" fontId="9" fillId="7" borderId="19" xfId="13" applyFont="1" applyFill="1" applyBorder="1" applyAlignment="1">
      <alignment vertical="center"/>
    </xf>
    <xf numFmtId="3" fontId="9" fillId="7" borderId="19" xfId="13" applyNumberFormat="1" applyFont="1" applyFill="1" applyBorder="1" applyAlignment="1">
      <alignment vertical="center"/>
    </xf>
    <xf numFmtId="3" fontId="9" fillId="7" borderId="28" xfId="13" applyNumberFormat="1" applyFont="1" applyFill="1" applyBorder="1" applyAlignment="1">
      <alignment vertical="center"/>
    </xf>
    <xf numFmtId="0" fontId="9" fillId="2" borderId="15" xfId="13" applyFont="1" applyFill="1" applyBorder="1" applyAlignment="1">
      <alignment horizontal="left" vertical="center"/>
    </xf>
    <xf numFmtId="0" fontId="10" fillId="0" borderId="17" xfId="13" applyFont="1" applyBorder="1" applyAlignment="1">
      <alignment vertical="center"/>
    </xf>
    <xf numFmtId="3" fontId="15" fillId="0" borderId="46" xfId="30" applyNumberFormat="1" applyFont="1" applyBorder="1" applyAlignment="1">
      <alignment vertical="center"/>
    </xf>
    <xf numFmtId="3" fontId="15" fillId="0" borderId="27" xfId="30" applyNumberFormat="1" applyFont="1" applyBorder="1" applyAlignment="1">
      <alignment vertical="center"/>
    </xf>
    <xf numFmtId="49" fontId="10" fillId="7" borderId="34" xfId="0" applyNumberFormat="1" applyFont="1" applyFill="1" applyBorder="1" applyAlignment="1">
      <alignment horizontal="center" vertical="center"/>
    </xf>
    <xf numFmtId="49" fontId="10" fillId="7" borderId="31" xfId="0" applyNumberFormat="1" applyFont="1" applyFill="1" applyBorder="1" applyAlignment="1">
      <alignment horizontal="center" vertical="center"/>
    </xf>
    <xf numFmtId="0" fontId="46" fillId="7" borderId="31" xfId="19" applyFont="1" applyFill="1" applyBorder="1" applyAlignment="1">
      <alignment vertical="center"/>
    </xf>
    <xf numFmtId="3" fontId="1" fillId="0" borderId="0" xfId="13" applyNumberFormat="1" applyFont="1" applyAlignment="1">
      <alignment vertical="center"/>
    </xf>
    <xf numFmtId="0" fontId="1" fillId="0" borderId="0" xfId="13" applyFont="1" applyFill="1" applyAlignment="1">
      <alignment vertical="center"/>
    </xf>
    <xf numFmtId="49" fontId="9" fillId="7" borderId="56" xfId="30" applyNumberFormat="1" applyFont="1" applyFill="1" applyBorder="1" applyAlignment="1">
      <alignment vertical="center"/>
    </xf>
    <xf numFmtId="173" fontId="12" fillId="0" borderId="0" xfId="13" applyNumberFormat="1" applyFont="1" applyAlignment="1">
      <alignment vertical="center"/>
    </xf>
    <xf numFmtId="49" fontId="15" fillId="2" borderId="39" xfId="13" applyNumberFormat="1" applyFont="1" applyFill="1" applyBorder="1" applyAlignment="1">
      <alignment horizontal="center" vertical="center"/>
    </xf>
    <xf numFmtId="49" fontId="15" fillId="2" borderId="37" xfId="13" applyNumberFormat="1" applyFont="1" applyFill="1" applyBorder="1" applyAlignment="1">
      <alignment horizontal="center" vertical="center"/>
    </xf>
    <xf numFmtId="49" fontId="9" fillId="2" borderId="37" xfId="13" applyNumberFormat="1" applyFont="1" applyFill="1" applyBorder="1" applyAlignment="1">
      <alignment horizontal="left" vertical="center"/>
    </xf>
    <xf numFmtId="3" fontId="10" fillId="2" borderId="38" xfId="13" applyNumberFormat="1" applyFont="1" applyFill="1" applyBorder="1" applyAlignment="1">
      <alignment vertical="center"/>
    </xf>
    <xf numFmtId="3" fontId="10" fillId="2" borderId="131" xfId="13" applyNumberFormat="1" applyFont="1" applyFill="1" applyBorder="1" applyAlignment="1">
      <alignment vertical="center"/>
    </xf>
    <xf numFmtId="49" fontId="15" fillId="2" borderId="25" xfId="13" applyNumberFormat="1" applyFont="1" applyFill="1" applyBorder="1" applyAlignment="1">
      <alignment horizontal="center" vertical="center"/>
    </xf>
    <xf numFmtId="49" fontId="15" fillId="2" borderId="24" xfId="13" applyNumberFormat="1" applyFont="1" applyFill="1" applyBorder="1" applyAlignment="1">
      <alignment horizontal="center" vertical="center"/>
    </xf>
    <xf numFmtId="49" fontId="9" fillId="2" borderId="24" xfId="13" applyNumberFormat="1" applyFont="1" applyFill="1" applyBorder="1" applyAlignment="1">
      <alignment horizontal="left" vertical="center"/>
    </xf>
    <xf numFmtId="3" fontId="9" fillId="2" borderId="40" xfId="13" applyNumberFormat="1" applyFont="1" applyFill="1" applyBorder="1" applyAlignment="1">
      <alignment vertical="center"/>
    </xf>
    <xf numFmtId="174" fontId="90" fillId="0" borderId="0" xfId="1" applyNumberFormat="1" applyFont="1" applyFill="1" applyBorder="1" applyAlignment="1">
      <alignment horizontal="right" vertical="center"/>
    </xf>
    <xf numFmtId="170" fontId="0" fillId="0" borderId="0" xfId="0" applyNumberFormat="1" applyAlignment="1">
      <alignment vertical="center"/>
    </xf>
    <xf numFmtId="43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9" fontId="10" fillId="0" borderId="33" xfId="13" applyNumberFormat="1" applyFont="1" applyFill="1" applyBorder="1" applyAlignment="1">
      <alignment horizontal="center" vertical="center"/>
    </xf>
    <xf numFmtId="0" fontId="0" fillId="0" borderId="0" xfId="17" applyFont="1"/>
    <xf numFmtId="3" fontId="9" fillId="7" borderId="36" xfId="30" applyNumberFormat="1" applyFont="1" applyFill="1" applyBorder="1" applyAlignment="1">
      <alignment horizontal="right" vertical="center"/>
    </xf>
    <xf numFmtId="49" fontId="34" fillId="7" borderId="34" xfId="13" applyNumberFormat="1" applyFont="1" applyFill="1" applyBorder="1" applyAlignment="1">
      <alignment vertical="center"/>
    </xf>
    <xf numFmtId="49" fontId="34" fillId="7" borderId="31" xfId="13" applyNumberFormat="1" applyFont="1" applyFill="1" applyBorder="1" applyAlignment="1">
      <alignment vertical="center"/>
    </xf>
    <xf numFmtId="49" fontId="34" fillId="17" borderId="34" xfId="13" applyNumberFormat="1" applyFont="1" applyFill="1" applyBorder="1" applyAlignment="1">
      <alignment vertical="center"/>
    </xf>
    <xf numFmtId="49" fontId="34" fillId="17" borderId="31" xfId="13" applyNumberFormat="1" applyFont="1" applyFill="1" applyBorder="1" applyAlignment="1">
      <alignment vertical="center"/>
    </xf>
    <xf numFmtId="49" fontId="9" fillId="17" borderId="56" xfId="30" applyNumberFormat="1" applyFont="1" applyFill="1" applyBorder="1" applyAlignment="1">
      <alignment vertical="center"/>
    </xf>
    <xf numFmtId="49" fontId="10" fillId="12" borderId="34" xfId="13" applyNumberFormat="1" applyFont="1" applyFill="1" applyBorder="1" applyAlignment="1">
      <alignment horizontal="center" vertical="center"/>
    </xf>
    <xf numFmtId="49" fontId="9" fillId="12" borderId="31" xfId="30" applyNumberFormat="1" applyFont="1" applyFill="1" applyBorder="1" applyAlignment="1">
      <alignment vertical="center"/>
    </xf>
    <xf numFmtId="49" fontId="9" fillId="17" borderId="56" xfId="30" applyNumberFormat="1" applyFont="1" applyFill="1" applyBorder="1" applyAlignment="1">
      <alignment horizontal="left" vertical="center"/>
    </xf>
    <xf numFmtId="49" fontId="9" fillId="12" borderId="56" xfId="30" applyNumberFormat="1" applyFont="1" applyFill="1" applyBorder="1" applyAlignment="1">
      <alignment vertical="center"/>
    </xf>
    <xf numFmtId="49" fontId="10" fillId="17" borderId="34" xfId="13" applyNumberFormat="1" applyFont="1" applyFill="1" applyBorder="1" applyAlignment="1">
      <alignment horizontal="center" vertical="center"/>
    </xf>
    <xf numFmtId="49" fontId="10" fillId="17" borderId="31" xfId="13" applyNumberFormat="1" applyFont="1" applyFill="1" applyBorder="1" applyAlignment="1">
      <alignment horizontal="center" vertical="center"/>
    </xf>
    <xf numFmtId="49" fontId="34" fillId="7" borderId="47" xfId="13" applyNumberFormat="1" applyFont="1" applyFill="1" applyBorder="1" applyAlignment="1">
      <alignment vertical="center"/>
    </xf>
    <xf numFmtId="49" fontId="34" fillId="7" borderId="30" xfId="13" applyNumberFormat="1" applyFont="1" applyFill="1" applyBorder="1" applyAlignment="1">
      <alignment vertical="center"/>
    </xf>
    <xf numFmtId="49" fontId="9" fillId="7" borderId="69" xfId="30" applyNumberFormat="1" applyFont="1" applyFill="1" applyBorder="1" applyAlignment="1">
      <alignment vertical="center"/>
    </xf>
    <xf numFmtId="164" fontId="5" fillId="0" borderId="0" xfId="13" applyNumberFormat="1" applyFont="1" applyFill="1" applyAlignment="1">
      <alignment vertical="center"/>
    </xf>
    <xf numFmtId="3" fontId="9" fillId="2" borderId="26" xfId="30" applyNumberFormat="1" applyFont="1" applyFill="1" applyBorder="1" applyAlignment="1">
      <alignment horizontal="right" vertical="center"/>
    </xf>
    <xf numFmtId="49" fontId="15" fillId="0" borderId="34" xfId="13" applyNumberFormat="1" applyFont="1" applyFill="1" applyBorder="1" applyAlignment="1">
      <alignment horizontal="center" vertical="center"/>
    </xf>
    <xf numFmtId="49" fontId="15" fillId="0" borderId="31" xfId="13" applyNumberFormat="1" applyFont="1" applyFill="1" applyBorder="1" applyAlignment="1">
      <alignment horizontal="center" vertical="center"/>
    </xf>
    <xf numFmtId="49" fontId="9" fillId="0" borderId="31" xfId="13" applyNumberFormat="1" applyFont="1" applyFill="1" applyBorder="1" applyAlignment="1">
      <alignment horizontal="left" vertical="center"/>
    </xf>
    <xf numFmtId="3" fontId="9" fillId="0" borderId="32" xfId="13" applyNumberFormat="1" applyFont="1" applyFill="1" applyBorder="1" applyAlignment="1">
      <alignment vertical="center"/>
    </xf>
    <xf numFmtId="3" fontId="9" fillId="0" borderId="44" xfId="13" applyNumberFormat="1" applyFont="1" applyFill="1" applyBorder="1" applyAlignment="1">
      <alignment vertical="center"/>
    </xf>
    <xf numFmtId="49" fontId="55" fillId="17" borderId="34" xfId="13" applyNumberFormat="1" applyFont="1" applyFill="1" applyBorder="1" applyAlignment="1">
      <alignment vertical="center"/>
    </xf>
    <xf numFmtId="49" fontId="55" fillId="17" borderId="31" xfId="13" applyNumberFormat="1" applyFont="1" applyFill="1" applyBorder="1" applyAlignment="1">
      <alignment vertical="center"/>
    </xf>
    <xf numFmtId="49" fontId="9" fillId="17" borderId="31" xfId="13" applyNumberFormat="1" applyFont="1" applyFill="1" applyBorder="1" applyAlignment="1">
      <alignment vertical="center"/>
    </xf>
    <xf numFmtId="49" fontId="9" fillId="7" borderId="33" xfId="13" applyNumberFormat="1" applyFont="1" applyFill="1" applyBorder="1" applyAlignment="1">
      <alignment vertical="center"/>
    </xf>
    <xf numFmtId="49" fontId="55" fillId="7" borderId="34" xfId="13" applyNumberFormat="1" applyFont="1" applyFill="1" applyBorder="1" applyAlignment="1">
      <alignment vertical="center"/>
    </xf>
    <xf numFmtId="49" fontId="55" fillId="7" borderId="31" xfId="13" applyNumberFormat="1" applyFont="1" applyFill="1" applyBorder="1" applyAlignment="1">
      <alignment vertical="center"/>
    </xf>
    <xf numFmtId="49" fontId="9" fillId="7" borderId="31" xfId="13" applyNumberFormat="1" applyFont="1" applyFill="1" applyBorder="1"/>
    <xf numFmtId="49" fontId="55" fillId="0" borderId="34" xfId="13" applyNumberFormat="1" applyFont="1" applyFill="1" applyBorder="1" applyAlignment="1">
      <alignment vertical="center"/>
    </xf>
    <xf numFmtId="49" fontId="55" fillId="0" borderId="31" xfId="13" applyNumberFormat="1" applyFont="1" applyFill="1" applyBorder="1" applyAlignment="1">
      <alignment vertical="center"/>
    </xf>
    <xf numFmtId="49" fontId="9" fillId="17" borderId="56" xfId="13" applyNumberFormat="1" applyFont="1" applyFill="1" applyBorder="1" applyAlignment="1">
      <alignment horizontal="left" vertical="center"/>
    </xf>
    <xf numFmtId="49" fontId="9" fillId="17" borderId="56" xfId="13" applyNumberFormat="1" applyFont="1" applyFill="1" applyBorder="1"/>
    <xf numFmtId="49" fontId="9" fillId="7" borderId="56" xfId="13" applyNumberFormat="1" applyFont="1" applyFill="1" applyBorder="1" applyAlignment="1">
      <alignment vertical="center"/>
    </xf>
    <xf numFmtId="49" fontId="55" fillId="7" borderId="47" xfId="13" applyNumberFormat="1" applyFont="1" applyFill="1" applyBorder="1" applyAlignment="1">
      <alignment vertical="center"/>
    </xf>
    <xf numFmtId="49" fontId="55" fillId="7" borderId="30" xfId="13" applyNumberFormat="1" applyFont="1" applyFill="1" applyBorder="1" applyAlignment="1">
      <alignment vertical="center"/>
    </xf>
    <xf numFmtId="49" fontId="9" fillId="7" borderId="30" xfId="13" applyNumberFormat="1" applyFont="1" applyFill="1" applyBorder="1" applyAlignment="1">
      <alignment vertical="center"/>
    </xf>
    <xf numFmtId="175" fontId="37" fillId="0" borderId="0" xfId="13" applyNumberFormat="1" applyFont="1" applyAlignment="1">
      <alignment vertical="center"/>
    </xf>
    <xf numFmtId="49" fontId="9" fillId="7" borderId="37" xfId="30" applyNumberFormat="1" applyFont="1" applyFill="1" applyBorder="1" applyAlignment="1">
      <alignment vertical="center"/>
    </xf>
    <xf numFmtId="3" fontId="9" fillId="7" borderId="38" xfId="30" applyNumberFormat="1" applyFont="1" applyFill="1" applyBorder="1" applyAlignment="1">
      <alignment horizontal="right" vertical="center"/>
    </xf>
    <xf numFmtId="49" fontId="34" fillId="7" borderId="50" xfId="13" applyNumberFormat="1" applyFont="1" applyFill="1" applyBorder="1" applyAlignment="1">
      <alignment vertical="center"/>
    </xf>
    <xf numFmtId="49" fontId="34" fillId="7" borderId="33" xfId="13" applyNumberFormat="1" applyFont="1" applyFill="1" applyBorder="1" applyAlignment="1">
      <alignment vertical="center"/>
    </xf>
    <xf numFmtId="49" fontId="9" fillId="7" borderId="152" xfId="30" applyNumberFormat="1" applyFont="1" applyFill="1" applyBorder="1" applyAlignment="1">
      <alignment vertical="center"/>
    </xf>
    <xf numFmtId="49" fontId="10" fillId="2" borderId="39" xfId="13" applyNumberFormat="1" applyFont="1" applyFill="1" applyBorder="1" applyAlignment="1">
      <alignment horizontal="center" vertical="center"/>
    </xf>
    <xf numFmtId="49" fontId="10" fillId="2" borderId="37" xfId="13" applyNumberFormat="1" applyFont="1" applyFill="1" applyBorder="1" applyAlignment="1">
      <alignment horizontal="center" vertical="center"/>
    </xf>
    <xf numFmtId="49" fontId="9" fillId="7" borderId="37" xfId="13" applyNumberFormat="1" applyFont="1" applyFill="1" applyBorder="1" applyAlignment="1">
      <alignment horizontal="left" vertical="center" wrapText="1"/>
    </xf>
    <xf numFmtId="3" fontId="9" fillId="7" borderId="38" xfId="13" applyNumberFormat="1" applyFont="1" applyFill="1" applyBorder="1" applyAlignment="1">
      <alignment vertical="center"/>
    </xf>
    <xf numFmtId="3" fontId="9" fillId="7" borderId="131" xfId="13" applyNumberFormat="1" applyFont="1" applyFill="1" applyBorder="1" applyAlignment="1">
      <alignment vertical="center"/>
    </xf>
    <xf numFmtId="49" fontId="55" fillId="7" borderId="50" xfId="13" applyNumberFormat="1" applyFont="1" applyFill="1" applyBorder="1" applyAlignment="1">
      <alignment vertical="center"/>
    </xf>
    <xf numFmtId="49" fontId="55" fillId="7" borderId="33" xfId="13" applyNumberFormat="1" applyFont="1" applyFill="1" applyBorder="1" applyAlignment="1">
      <alignment vertical="center"/>
    </xf>
    <xf numFmtId="0" fontId="91" fillId="0" borderId="0" xfId="13" applyFont="1" applyFill="1" applyAlignment="1">
      <alignment vertical="center"/>
    </xf>
    <xf numFmtId="49" fontId="92" fillId="17" borderId="153" xfId="13" applyNumberFormat="1" applyFont="1" applyFill="1" applyBorder="1" applyAlignment="1">
      <alignment horizontal="center" vertical="center"/>
    </xf>
    <xf numFmtId="0" fontId="92" fillId="17" borderId="153" xfId="13" applyFont="1" applyFill="1" applyBorder="1" applyAlignment="1">
      <alignment vertical="center"/>
    </xf>
    <xf numFmtId="3" fontId="92" fillId="17" borderId="153" xfId="13" applyNumberFormat="1" applyFont="1" applyFill="1" applyBorder="1" applyAlignment="1">
      <alignment horizontal="right" vertical="center" wrapText="1"/>
    </xf>
    <xf numFmtId="3" fontId="92" fillId="17" borderId="33" xfId="13" applyNumberFormat="1" applyFont="1" applyFill="1" applyBorder="1" applyAlignment="1">
      <alignment vertical="center"/>
    </xf>
    <xf numFmtId="3" fontId="92" fillId="17" borderId="54" xfId="13" applyNumberFormat="1" applyFont="1" applyFill="1" applyBorder="1" applyAlignment="1">
      <alignment vertical="center"/>
    </xf>
    <xf numFmtId="3" fontId="92" fillId="17" borderId="31" xfId="13" applyNumberFormat="1" applyFont="1" applyFill="1" applyBorder="1" applyAlignment="1">
      <alignment vertical="center"/>
    </xf>
    <xf numFmtId="3" fontId="92" fillId="17" borderId="44" xfId="13" applyNumberFormat="1" applyFont="1" applyFill="1" applyBorder="1" applyAlignment="1">
      <alignment vertical="center"/>
    </xf>
    <xf numFmtId="3" fontId="93" fillId="17" borderId="32" xfId="13" applyNumberFormat="1" applyFont="1" applyFill="1" applyBorder="1" applyAlignment="1">
      <alignment vertical="center"/>
    </xf>
    <xf numFmtId="3" fontId="93" fillId="17" borderId="44" xfId="13" applyNumberFormat="1" applyFont="1" applyFill="1" applyBorder="1" applyAlignment="1">
      <alignment vertical="center"/>
    </xf>
    <xf numFmtId="3" fontId="92" fillId="17" borderId="32" xfId="13" applyNumberFormat="1" applyFont="1" applyFill="1" applyBorder="1" applyAlignment="1">
      <alignment vertical="center"/>
    </xf>
    <xf numFmtId="3" fontId="92" fillId="17" borderId="30" xfId="13" applyNumberFormat="1" applyFont="1" applyFill="1" applyBorder="1" applyAlignment="1">
      <alignment vertical="center"/>
    </xf>
    <xf numFmtId="3" fontId="92" fillId="17" borderId="48" xfId="13" applyNumberFormat="1" applyFont="1" applyFill="1" applyBorder="1" applyAlignment="1">
      <alignment vertical="center"/>
    </xf>
    <xf numFmtId="3" fontId="92" fillId="17" borderId="36" xfId="30" applyNumberFormat="1" applyFont="1" applyFill="1" applyBorder="1" applyAlignment="1">
      <alignment horizontal="right" vertical="center"/>
    </xf>
    <xf numFmtId="3" fontId="92" fillId="17" borderId="54" xfId="30" applyNumberFormat="1" applyFont="1" applyFill="1" applyBorder="1" applyAlignment="1">
      <alignment horizontal="right" vertical="center"/>
    </xf>
    <xf numFmtId="3" fontId="92" fillId="17" borderId="32" xfId="30" applyNumberFormat="1" applyFont="1" applyFill="1" applyBorder="1" applyAlignment="1">
      <alignment horizontal="right" vertical="center"/>
    </xf>
    <xf numFmtId="3" fontId="92" fillId="17" borderId="44" xfId="30" applyNumberFormat="1" applyFont="1" applyFill="1" applyBorder="1" applyAlignment="1">
      <alignment horizontal="right" vertical="center"/>
    </xf>
    <xf numFmtId="3" fontId="92" fillId="17" borderId="41" xfId="30" applyNumberFormat="1" applyFont="1" applyFill="1" applyBorder="1" applyAlignment="1">
      <alignment horizontal="right" vertical="center"/>
    </xf>
    <xf numFmtId="3" fontId="92" fillId="17" borderId="48" xfId="30" applyNumberFormat="1" applyFont="1" applyFill="1" applyBorder="1" applyAlignment="1">
      <alignment horizontal="right" vertical="center"/>
    </xf>
    <xf numFmtId="49" fontId="92" fillId="17" borderId="16" xfId="13" applyNumberFormat="1" applyFont="1" applyFill="1" applyBorder="1" applyAlignment="1">
      <alignment horizontal="center" vertical="center"/>
    </xf>
    <xf numFmtId="49" fontId="92" fillId="17" borderId="15" xfId="13" applyNumberFormat="1" applyFont="1" applyFill="1" applyBorder="1" applyAlignment="1">
      <alignment horizontal="center" vertical="center"/>
    </xf>
    <xf numFmtId="49" fontId="92" fillId="17" borderId="14" xfId="13" applyNumberFormat="1" applyFont="1" applyFill="1" applyBorder="1" applyAlignment="1">
      <alignment horizontal="center" vertical="center"/>
    </xf>
    <xf numFmtId="3" fontId="92" fillId="17" borderId="15" xfId="13" applyNumberFormat="1" applyFont="1" applyFill="1" applyBorder="1" applyAlignment="1">
      <alignment horizontal="right" vertical="center" wrapText="1"/>
    </xf>
    <xf numFmtId="3" fontId="92" fillId="17" borderId="26" xfId="13" applyNumberFormat="1" applyFont="1" applyFill="1" applyBorder="1" applyAlignment="1">
      <alignment horizontal="right" vertical="center" wrapText="1"/>
    </xf>
    <xf numFmtId="0" fontId="46" fillId="0" borderId="31" xfId="19" applyFont="1" applyFill="1" applyBorder="1" applyAlignment="1">
      <alignment vertical="center" wrapText="1"/>
    </xf>
    <xf numFmtId="3" fontId="9" fillId="0" borderId="31" xfId="30" applyNumberFormat="1" applyFont="1" applyFill="1" applyBorder="1" applyAlignment="1">
      <alignment horizontal="right" vertical="center"/>
    </xf>
    <xf numFmtId="0" fontId="46" fillId="12" borderId="31" xfId="19" applyFont="1" applyFill="1" applyBorder="1" applyAlignment="1">
      <alignment vertical="center" wrapText="1"/>
    </xf>
    <xf numFmtId="3" fontId="9" fillId="12" borderId="31" xfId="30" applyNumberFormat="1" applyFont="1" applyFill="1" applyBorder="1" applyAlignment="1">
      <alignment horizontal="right" vertical="center"/>
    </xf>
    <xf numFmtId="0" fontId="46" fillId="17" borderId="31" xfId="19" applyFont="1" applyFill="1" applyBorder="1"/>
    <xf numFmtId="49" fontId="14" fillId="7" borderId="152" xfId="13" applyNumberFormat="1" applyFont="1" applyFill="1" applyBorder="1" applyAlignment="1">
      <alignment vertical="center"/>
    </xf>
    <xf numFmtId="49" fontId="14" fillId="7" borderId="56" xfId="13" applyNumberFormat="1" applyFont="1" applyFill="1" applyBorder="1" applyAlignment="1">
      <alignment vertical="center"/>
    </xf>
    <xf numFmtId="3" fontId="92" fillId="17" borderId="33" xfId="30" applyNumberFormat="1" applyFont="1" applyFill="1" applyBorder="1" applyAlignment="1">
      <alignment horizontal="right" vertical="center"/>
    </xf>
    <xf numFmtId="3" fontId="92" fillId="17" borderId="31" xfId="30" applyNumberFormat="1" applyFont="1" applyFill="1" applyBorder="1" applyAlignment="1">
      <alignment horizontal="right" vertical="center"/>
    </xf>
    <xf numFmtId="3" fontId="92" fillId="17" borderId="31" xfId="13" applyNumberFormat="1" applyFont="1" applyFill="1" applyBorder="1" applyAlignment="1">
      <alignment horizontal="right" vertical="center"/>
    </xf>
    <xf numFmtId="3" fontId="92" fillId="17" borderId="44" xfId="13" applyNumberFormat="1" applyFont="1" applyFill="1" applyBorder="1" applyAlignment="1">
      <alignment horizontal="right" vertical="center"/>
    </xf>
    <xf numFmtId="3" fontId="92" fillId="17" borderId="30" xfId="30" applyNumberFormat="1" applyFont="1" applyFill="1" applyBorder="1" applyAlignment="1">
      <alignment horizontal="right" vertical="center"/>
    </xf>
    <xf numFmtId="49" fontId="10" fillId="0" borderId="49" xfId="13" applyNumberFormat="1" applyFont="1" applyBorder="1" applyAlignment="1">
      <alignment horizontal="center" vertical="center"/>
    </xf>
    <xf numFmtId="3" fontId="10" fillId="0" borderId="17" xfId="0" applyNumberFormat="1" applyFont="1" applyBorder="1" applyAlignment="1">
      <alignment vertical="center"/>
    </xf>
    <xf numFmtId="3" fontId="10" fillId="0" borderId="27" xfId="0" applyNumberFormat="1" applyFont="1" applyBorder="1" applyAlignment="1">
      <alignment vertical="center"/>
    </xf>
    <xf numFmtId="3" fontId="9" fillId="2" borderId="41" xfId="0" applyNumberFormat="1" applyFont="1" applyFill="1" applyBorder="1" applyAlignment="1">
      <alignment vertical="center"/>
    </xf>
    <xf numFmtId="3" fontId="9" fillId="2" borderId="48" xfId="0" applyNumberFormat="1" applyFont="1" applyFill="1" applyBorder="1" applyAlignment="1">
      <alignment vertical="center"/>
    </xf>
    <xf numFmtId="3" fontId="15" fillId="0" borderId="54" xfId="20" applyNumberFormat="1" applyFont="1" applyBorder="1" applyAlignment="1">
      <alignment vertical="center"/>
    </xf>
    <xf numFmtId="3" fontId="19" fillId="5" borderId="44" xfId="13" applyNumberFormat="1" applyFont="1" applyFill="1" applyBorder="1" applyAlignment="1">
      <alignment vertical="center"/>
    </xf>
    <xf numFmtId="3" fontId="10" fillId="12" borderId="44" xfId="13" applyNumberFormat="1" applyFont="1" applyFill="1" applyBorder="1" applyAlignment="1">
      <alignment vertical="center"/>
    </xf>
    <xf numFmtId="3" fontId="10" fillId="16" borderId="44" xfId="13" applyNumberFormat="1" applyFont="1" applyFill="1" applyBorder="1" applyAlignment="1">
      <alignment vertical="center"/>
    </xf>
    <xf numFmtId="3" fontId="92" fillId="17" borderId="10" xfId="13" applyNumberFormat="1" applyFont="1" applyFill="1" applyBorder="1" applyAlignment="1">
      <alignment horizontal="right" vertical="center" wrapText="1"/>
    </xf>
    <xf numFmtId="3" fontId="92" fillId="17" borderId="22" xfId="13" applyNumberFormat="1" applyFont="1" applyFill="1" applyBorder="1" applyAlignment="1">
      <alignment horizontal="right" vertical="center" wrapText="1"/>
    </xf>
    <xf numFmtId="49" fontId="14" fillId="7" borderId="16" xfId="13" applyNumberFormat="1" applyFont="1" applyFill="1" applyBorder="1" applyAlignment="1">
      <alignment horizontal="center"/>
    </xf>
    <xf numFmtId="49" fontId="9" fillId="7" borderId="15" xfId="13" applyNumberFormat="1" applyFont="1" applyFill="1" applyBorder="1" applyAlignment="1">
      <alignment horizontal="center"/>
    </xf>
    <xf numFmtId="49" fontId="9" fillId="7" borderId="14" xfId="13" applyNumberFormat="1" applyFont="1" applyFill="1" applyBorder="1" applyAlignment="1">
      <alignment horizontal="center"/>
    </xf>
    <xf numFmtId="0" fontId="9" fillId="7" borderId="15" xfId="13" applyFont="1" applyFill="1" applyBorder="1"/>
    <xf numFmtId="49" fontId="92" fillId="17" borderId="12" xfId="13" applyNumberFormat="1" applyFont="1" applyFill="1" applyBorder="1" applyAlignment="1">
      <alignment horizontal="center" vertical="center"/>
    </xf>
    <xf numFmtId="49" fontId="92" fillId="17" borderId="10" xfId="13" applyNumberFormat="1" applyFont="1" applyFill="1" applyBorder="1" applyAlignment="1">
      <alignment horizontal="center" vertical="center"/>
    </xf>
    <xf numFmtId="49" fontId="92" fillId="17" borderId="11" xfId="13" applyNumberFormat="1" applyFont="1" applyFill="1" applyBorder="1" applyAlignment="1">
      <alignment horizontal="center" vertical="center"/>
    </xf>
    <xf numFmtId="0" fontId="92" fillId="17" borderId="10" xfId="13" applyFont="1" applyFill="1" applyBorder="1" applyAlignment="1">
      <alignment vertical="center"/>
    </xf>
    <xf numFmtId="0" fontId="92" fillId="17" borderId="33" xfId="13" applyFont="1" applyFill="1" applyBorder="1" applyAlignment="1">
      <alignment vertical="center"/>
    </xf>
    <xf numFmtId="0" fontId="92" fillId="17" borderId="30" xfId="13" applyFont="1" applyFill="1" applyBorder="1" applyAlignment="1">
      <alignment vertical="center"/>
    </xf>
    <xf numFmtId="0" fontId="93" fillId="17" borderId="15" xfId="13" applyFont="1" applyFill="1" applyBorder="1" applyAlignment="1">
      <alignment horizontal="left" vertical="center"/>
    </xf>
    <xf numFmtId="170" fontId="40" fillId="0" borderId="103" xfId="1" applyNumberFormat="1" applyFont="1" applyFill="1" applyBorder="1" applyAlignment="1">
      <alignment horizontal="center" vertical="center"/>
    </xf>
    <xf numFmtId="170" fontId="40" fillId="0" borderId="105" xfId="1" applyNumberFormat="1" applyFont="1" applyFill="1" applyBorder="1" applyAlignment="1">
      <alignment horizontal="center" vertical="center"/>
    </xf>
    <xf numFmtId="170" fontId="40" fillId="23" borderId="103" xfId="1" applyNumberFormat="1" applyFont="1" applyFill="1" applyBorder="1" applyAlignment="1">
      <alignment horizontal="center" vertical="center"/>
    </xf>
    <xf numFmtId="43" fontId="0" fillId="0" borderId="0" xfId="1" applyFont="1"/>
    <xf numFmtId="0" fontId="71" fillId="16" borderId="4" xfId="35" applyFont="1" applyFill="1" applyBorder="1" applyAlignment="1">
      <alignment horizontal="center" vertical="center" wrapText="1"/>
    </xf>
    <xf numFmtId="3" fontId="73" fillId="16" borderId="4" xfId="35" applyNumberFormat="1" applyFont="1" applyFill="1" applyBorder="1" applyAlignment="1">
      <alignment vertical="center"/>
    </xf>
    <xf numFmtId="3" fontId="75" fillId="16" borderId="117" xfId="35" applyNumberFormat="1" applyFont="1" applyFill="1" applyBorder="1" applyAlignment="1">
      <alignment vertical="center"/>
    </xf>
    <xf numFmtId="3" fontId="76" fillId="16" borderId="100" xfId="35" applyNumberFormat="1" applyFont="1" applyFill="1" applyBorder="1" applyAlignment="1">
      <alignment vertical="center"/>
    </xf>
    <xf numFmtId="3" fontId="76" fillId="16" borderId="2" xfId="35" applyNumberFormat="1" applyFont="1" applyFill="1" applyBorder="1" applyAlignment="1">
      <alignment vertical="center"/>
    </xf>
    <xf numFmtId="3" fontId="78" fillId="16" borderId="2" xfId="35" applyNumberFormat="1" applyFont="1" applyFill="1" applyBorder="1" applyAlignment="1">
      <alignment vertical="center"/>
    </xf>
    <xf numFmtId="3" fontId="79" fillId="16" borderId="2" xfId="35" applyNumberFormat="1" applyFont="1" applyFill="1" applyBorder="1" applyAlignment="1">
      <alignment horizontal="right" vertical="center"/>
    </xf>
    <xf numFmtId="3" fontId="79" fillId="16" borderId="2" xfId="35" applyNumberFormat="1" applyFont="1" applyFill="1" applyBorder="1" applyAlignment="1">
      <alignment vertical="center"/>
    </xf>
    <xf numFmtId="3" fontId="81" fillId="16" borderId="2" xfId="35" applyNumberFormat="1" applyFont="1" applyFill="1" applyBorder="1" applyAlignment="1">
      <alignment vertical="center"/>
    </xf>
    <xf numFmtId="3" fontId="76" fillId="16" borderId="107" xfId="35" applyNumberFormat="1" applyFont="1" applyFill="1" applyBorder="1" applyAlignment="1">
      <alignment vertical="center"/>
    </xf>
    <xf numFmtId="3" fontId="82" fillId="16" borderId="100" xfId="35" applyNumberFormat="1" applyFont="1" applyFill="1" applyBorder="1" applyAlignment="1">
      <alignment vertical="center"/>
    </xf>
    <xf numFmtId="3" fontId="82" fillId="16" borderId="2" xfId="35" applyNumberFormat="1" applyFont="1" applyFill="1" applyBorder="1" applyAlignment="1">
      <alignment vertical="center"/>
    </xf>
    <xf numFmtId="3" fontId="48" fillId="16" borderId="2" xfId="35" applyNumberFormat="1" applyFont="1" applyFill="1" applyBorder="1" applyAlignment="1">
      <alignment vertical="center"/>
    </xf>
    <xf numFmtId="3" fontId="76" fillId="16" borderId="2" xfId="35" applyNumberFormat="1" applyFont="1" applyFill="1" applyBorder="1" applyAlignment="1">
      <alignment horizontal="right" vertical="center"/>
    </xf>
    <xf numFmtId="3" fontId="82" fillId="16" borderId="107" xfId="35" applyNumberFormat="1" applyFont="1" applyFill="1" applyBorder="1" applyAlignment="1">
      <alignment vertical="center"/>
    </xf>
    <xf numFmtId="3" fontId="73" fillId="16" borderId="1" xfId="35" applyNumberFormat="1" applyFont="1" applyFill="1" applyBorder="1" applyAlignment="1">
      <alignment vertical="center"/>
    </xf>
    <xf numFmtId="49" fontId="92" fillId="17" borderId="154" xfId="13" applyNumberFormat="1" applyFont="1" applyFill="1" applyBorder="1" applyAlignment="1">
      <alignment horizontal="center" vertical="center"/>
    </xf>
    <xf numFmtId="0" fontId="92" fillId="17" borderId="154" xfId="13" applyFont="1" applyFill="1" applyBorder="1" applyAlignment="1">
      <alignment vertical="center"/>
    </xf>
    <xf numFmtId="3" fontId="92" fillId="17" borderId="154" xfId="13" applyNumberFormat="1" applyFont="1" applyFill="1" applyBorder="1" applyAlignment="1">
      <alignment horizontal="right" vertical="center" wrapText="1"/>
    </xf>
    <xf numFmtId="0" fontId="40" fillId="7" borderId="25" xfId="0" applyFont="1" applyFill="1" applyBorder="1" applyAlignment="1">
      <alignment horizontal="center"/>
    </xf>
    <xf numFmtId="0" fontId="40" fillId="7" borderId="24" xfId="0" applyFont="1" applyFill="1" applyBorder="1" applyAlignment="1">
      <alignment horizontal="center"/>
    </xf>
    <xf numFmtId="0" fontId="40" fillId="7" borderId="39" xfId="0" applyFont="1" applyFill="1" applyBorder="1" applyAlignment="1">
      <alignment horizontal="center"/>
    </xf>
    <xf numFmtId="0" fontId="40" fillId="7" borderId="37" xfId="0" applyFont="1" applyFill="1" applyBorder="1" applyAlignment="1">
      <alignment horizontal="center"/>
    </xf>
    <xf numFmtId="0" fontId="73" fillId="0" borderId="60" xfId="35" applyFont="1" applyBorder="1" applyAlignment="1">
      <alignment vertical="center"/>
    </xf>
    <xf numFmtId="0" fontId="73" fillId="0" borderId="117" xfId="35" applyFont="1" applyBorder="1" applyAlignment="1">
      <alignment vertical="center"/>
    </xf>
    <xf numFmtId="0" fontId="67" fillId="0" borderId="0" xfId="35" applyFont="1" applyBorder="1" applyAlignment="1">
      <alignment horizontal="center" vertical="center" wrapText="1"/>
    </xf>
    <xf numFmtId="0" fontId="70" fillId="7" borderId="112" xfId="35" applyFont="1" applyFill="1" applyBorder="1" applyAlignment="1">
      <alignment horizontal="center" vertical="center"/>
    </xf>
    <xf numFmtId="0" fontId="71" fillId="0" borderId="6" xfId="35" applyFont="1" applyBorder="1" applyAlignment="1">
      <alignment horizontal="center" vertical="center" wrapText="1"/>
    </xf>
    <xf numFmtId="0" fontId="71" fillId="0" borderId="113" xfId="35" applyFont="1" applyBorder="1" applyAlignment="1">
      <alignment horizontal="center" vertical="center" wrapText="1"/>
    </xf>
    <xf numFmtId="0" fontId="71" fillId="0" borderId="110" xfId="35" applyFont="1" applyBorder="1" applyAlignment="1">
      <alignment horizontal="center" vertical="center" wrapText="1"/>
    </xf>
    <xf numFmtId="0" fontId="73" fillId="0" borderId="4" xfId="35" applyFont="1" applyBorder="1" applyAlignment="1">
      <alignment vertical="center"/>
    </xf>
    <xf numFmtId="0" fontId="73" fillId="0" borderId="111" xfId="35" applyFont="1" applyBorder="1" applyAlignment="1">
      <alignment vertical="center"/>
    </xf>
    <xf numFmtId="0" fontId="73" fillId="0" borderId="115" xfId="35" applyFont="1" applyBorder="1" applyAlignment="1">
      <alignment vertical="center"/>
    </xf>
    <xf numFmtId="0" fontId="73" fillId="0" borderId="1" xfId="35" applyFont="1" applyBorder="1" applyAlignment="1">
      <alignment vertical="center"/>
    </xf>
    <xf numFmtId="0" fontId="73" fillId="0" borderId="116" xfId="35" applyFont="1" applyBorder="1" applyAlignment="1">
      <alignment vertical="center"/>
    </xf>
    <xf numFmtId="0" fontId="45" fillId="0" borderId="0" xfId="53" applyFont="1" applyFill="1" applyAlignment="1">
      <alignment horizontal="center"/>
    </xf>
    <xf numFmtId="0" fontId="45" fillId="0" borderId="0" xfId="53" applyFont="1" applyFill="1" applyAlignment="1">
      <alignment horizontal="center" vertical="center"/>
    </xf>
    <xf numFmtId="0" fontId="45" fillId="7" borderId="99" xfId="53" applyFont="1" applyFill="1" applyBorder="1" applyAlignment="1">
      <alignment horizontal="center" vertical="center" wrapText="1"/>
    </xf>
    <xf numFmtId="0" fontId="45" fillId="7" borderId="102" xfId="53" applyFont="1" applyFill="1" applyBorder="1" applyAlignment="1">
      <alignment horizontal="center" vertical="center" wrapText="1"/>
    </xf>
    <xf numFmtId="0" fontId="45" fillId="7" borderId="104" xfId="53" applyFont="1" applyFill="1" applyBorder="1" applyAlignment="1">
      <alignment horizontal="center" vertical="center" wrapText="1"/>
    </xf>
    <xf numFmtId="0" fontId="45" fillId="7" borderId="100" xfId="53" applyFont="1" applyFill="1" applyBorder="1" applyAlignment="1">
      <alignment horizontal="center"/>
    </xf>
    <xf numFmtId="4" fontId="45" fillId="9" borderId="1" xfId="53" applyNumberFormat="1" applyFont="1" applyFill="1" applyBorder="1" applyAlignment="1">
      <alignment horizontal="center" vertical="center"/>
    </xf>
    <xf numFmtId="0" fontId="45" fillId="7" borderId="101" xfId="53" applyFont="1" applyFill="1" applyBorder="1" applyAlignment="1">
      <alignment horizontal="center"/>
    </xf>
    <xf numFmtId="0" fontId="45" fillId="7" borderId="2" xfId="53" applyFont="1" applyFill="1" applyBorder="1" applyAlignment="1">
      <alignment horizontal="center" vertical="center"/>
    </xf>
    <xf numFmtId="0" fontId="45" fillId="7" borderId="103" xfId="53" applyFont="1" applyFill="1" applyBorder="1" applyAlignment="1">
      <alignment horizontal="center" vertical="center"/>
    </xf>
    <xf numFmtId="3" fontId="14" fillId="2" borderId="19" xfId="42" applyNumberFormat="1" applyFont="1" applyFill="1" applyBorder="1" applyAlignment="1">
      <alignment horizontal="center" vertical="center" wrapText="1"/>
    </xf>
    <xf numFmtId="3" fontId="14" fillId="2" borderId="17" xfId="42" applyNumberFormat="1" applyFont="1" applyFill="1" applyBorder="1" applyAlignment="1">
      <alignment horizontal="center" vertical="center" wrapText="1"/>
    </xf>
    <xf numFmtId="3" fontId="14" fillId="2" borderId="15" xfId="42" applyNumberFormat="1" applyFont="1" applyFill="1" applyBorder="1" applyAlignment="1">
      <alignment horizontal="center" vertical="center" wrapText="1"/>
    </xf>
    <xf numFmtId="3" fontId="14" fillId="2" borderId="24" xfId="42" applyNumberFormat="1" applyFont="1" applyFill="1" applyBorder="1" applyAlignment="1">
      <alignment horizontal="center" vertical="center" wrapText="1"/>
    </xf>
    <xf numFmtId="3" fontId="14" fillId="2" borderId="31" xfId="42" applyNumberFormat="1" applyFont="1" applyFill="1" applyBorder="1" applyAlignment="1">
      <alignment horizontal="center" vertical="center" wrapText="1"/>
    </xf>
    <xf numFmtId="3" fontId="14" fillId="2" borderId="30" xfId="42" applyNumberFormat="1" applyFont="1" applyFill="1" applyBorder="1" applyAlignment="1">
      <alignment horizontal="center" vertical="center" wrapText="1"/>
    </xf>
    <xf numFmtId="0" fontId="14" fillId="22" borderId="12" xfId="42" applyFont="1" applyFill="1" applyBorder="1" applyAlignment="1">
      <alignment horizontal="center" vertical="center"/>
    </xf>
    <xf numFmtId="0" fontId="14" fillId="22" borderId="51" xfId="42" applyFont="1" applyFill="1" applyBorder="1" applyAlignment="1">
      <alignment horizontal="center" vertical="center"/>
    </xf>
    <xf numFmtId="0" fontId="15" fillId="7" borderId="25" xfId="42" applyFont="1" applyFill="1" applyBorder="1" applyAlignment="1">
      <alignment horizontal="center" vertical="center"/>
    </xf>
    <xf numFmtId="0" fontId="15" fillId="7" borderId="34" xfId="42" applyFont="1" applyFill="1" applyBorder="1" applyAlignment="1">
      <alignment horizontal="center" vertical="center"/>
    </xf>
    <xf numFmtId="0" fontId="15" fillId="7" borderId="47" xfId="42" applyFont="1" applyFill="1" applyBorder="1" applyAlignment="1">
      <alignment horizontal="center" vertical="center"/>
    </xf>
    <xf numFmtId="49" fontId="65" fillId="7" borderId="24" xfId="42" applyNumberFormat="1" applyFont="1" applyFill="1" applyBorder="1" applyAlignment="1">
      <alignment horizontal="center" vertical="center" wrapText="1" shrinkToFit="1"/>
    </xf>
    <xf numFmtId="49" fontId="65" fillId="7" borderId="31" xfId="42" applyNumberFormat="1" applyFont="1" applyFill="1" applyBorder="1" applyAlignment="1">
      <alignment horizontal="center" vertical="center" wrapText="1" shrinkToFit="1"/>
    </xf>
    <xf numFmtId="49" fontId="65" fillId="7" borderId="30" xfId="42" applyNumberFormat="1" applyFont="1" applyFill="1" applyBorder="1" applyAlignment="1">
      <alignment horizontal="center" vertical="center" wrapText="1" shrinkToFit="1"/>
    </xf>
    <xf numFmtId="3" fontId="9" fillId="7" borderId="24" xfId="13" applyNumberFormat="1" applyFont="1" applyFill="1" applyBorder="1" applyAlignment="1">
      <alignment horizontal="center" vertical="center" wrapText="1"/>
    </xf>
    <xf numFmtId="3" fontId="9" fillId="7" borderId="31" xfId="13" applyNumberFormat="1" applyFont="1" applyFill="1" applyBorder="1" applyAlignment="1">
      <alignment horizontal="center" vertical="center" wrapText="1"/>
    </xf>
    <xf numFmtId="3" fontId="9" fillId="7" borderId="30" xfId="13" applyNumberFormat="1" applyFont="1" applyFill="1" applyBorder="1" applyAlignment="1">
      <alignment horizontal="center" vertical="center" wrapText="1"/>
    </xf>
    <xf numFmtId="49" fontId="14" fillId="21" borderId="34" xfId="42" applyNumberFormat="1" applyFont="1" applyFill="1" applyBorder="1" applyAlignment="1" applyProtection="1">
      <alignment horizontal="left" vertical="center"/>
      <protection locked="0"/>
    </xf>
    <xf numFmtId="49" fontId="14" fillId="21" borderId="31" xfId="42" applyNumberFormat="1" applyFont="1" applyFill="1" applyBorder="1" applyAlignment="1" applyProtection="1">
      <alignment horizontal="left" vertical="center"/>
      <protection locked="0"/>
    </xf>
    <xf numFmtId="0" fontId="14" fillId="21" borderId="34" xfId="42" applyFont="1" applyFill="1" applyBorder="1" applyAlignment="1">
      <alignment horizontal="left" vertical="center"/>
    </xf>
    <xf numFmtId="0" fontId="14" fillId="21" borderId="31" xfId="42" applyFont="1" applyFill="1" applyBorder="1" applyAlignment="1">
      <alignment horizontal="left" vertical="center"/>
    </xf>
    <xf numFmtId="0" fontId="33" fillId="2" borderId="13" xfId="42" applyFont="1" applyFill="1" applyBorder="1" applyAlignment="1">
      <alignment horizontal="center" vertical="center"/>
    </xf>
    <xf numFmtId="0" fontId="33" fillId="2" borderId="10" xfId="42" applyFont="1" applyFill="1" applyBorder="1" applyAlignment="1">
      <alignment horizontal="center" vertical="center"/>
    </xf>
    <xf numFmtId="0" fontId="54" fillId="0" borderId="6" xfId="0" applyFont="1" applyBorder="1" applyAlignment="1">
      <alignment horizontal="center" vertical="center" wrapText="1"/>
    </xf>
    <xf numFmtId="0" fontId="54" fillId="0" borderId="113" xfId="0" applyFont="1" applyBorder="1" applyAlignment="1">
      <alignment horizontal="center" vertical="center" wrapText="1"/>
    </xf>
    <xf numFmtId="0" fontId="54" fillId="0" borderId="110" xfId="0" applyFont="1" applyBorder="1" applyAlignment="1">
      <alignment horizontal="center" vertical="center" wrapText="1"/>
    </xf>
    <xf numFmtId="0" fontId="34" fillId="2" borderId="12" xfId="0" applyFont="1" applyFill="1" applyBorder="1" applyAlignment="1">
      <alignment horizontal="center" vertical="center"/>
    </xf>
    <xf numFmtId="0" fontId="34" fillId="2" borderId="51" xfId="0" applyFont="1" applyFill="1" applyBorder="1" applyAlignment="1">
      <alignment horizontal="center" vertical="center"/>
    </xf>
    <xf numFmtId="0" fontId="34" fillId="2" borderId="13" xfId="0" applyFont="1" applyFill="1" applyBorder="1" applyAlignment="1">
      <alignment horizontal="center" vertical="center"/>
    </xf>
    <xf numFmtId="0" fontId="34" fillId="2" borderId="10" xfId="0" applyFont="1" applyFill="1" applyBorder="1" applyAlignment="1">
      <alignment horizontal="center" vertical="center"/>
    </xf>
    <xf numFmtId="0" fontId="1" fillId="7" borderId="25" xfId="0" applyFont="1" applyFill="1" applyBorder="1" applyAlignment="1">
      <alignment horizontal="center" vertical="center"/>
    </xf>
    <xf numFmtId="0" fontId="1" fillId="7" borderId="24" xfId="0" applyFont="1" applyFill="1" applyBorder="1" applyAlignment="1">
      <alignment horizontal="center" vertical="center"/>
    </xf>
    <xf numFmtId="0" fontId="1" fillId="7" borderId="47" xfId="0" applyFont="1" applyFill="1" applyBorder="1" applyAlignment="1">
      <alignment horizontal="center" vertical="center"/>
    </xf>
    <xf numFmtId="0" fontId="1" fillId="7" borderId="30" xfId="0" applyFont="1" applyFill="1" applyBorder="1" applyAlignment="1">
      <alignment horizontal="center" vertical="center"/>
    </xf>
    <xf numFmtId="3" fontId="9" fillId="7" borderId="28" xfId="13" applyNumberFormat="1" applyFont="1" applyFill="1" applyBorder="1" applyAlignment="1">
      <alignment horizontal="center" vertical="center" wrapText="1"/>
    </xf>
    <xf numFmtId="3" fontId="9" fillId="7" borderId="27" xfId="13" applyNumberFormat="1" applyFont="1" applyFill="1" applyBorder="1" applyAlignment="1">
      <alignment horizontal="center" vertical="center" wrapText="1"/>
    </xf>
    <xf numFmtId="3" fontId="9" fillId="7" borderId="26" xfId="13" applyNumberFormat="1" applyFont="1" applyFill="1" applyBorder="1" applyAlignment="1">
      <alignment horizontal="center" vertical="center" wrapText="1"/>
    </xf>
    <xf numFmtId="0" fontId="9" fillId="9" borderId="25" xfId="0" applyFont="1" applyFill="1" applyBorder="1" applyAlignment="1">
      <alignment horizontal="center" vertical="justify"/>
    </xf>
    <xf numFmtId="0" fontId="9" fillId="9" borderId="23" xfId="0" applyFont="1" applyFill="1" applyBorder="1" applyAlignment="1">
      <alignment horizontal="center" vertical="justify"/>
    </xf>
    <xf numFmtId="0" fontId="10" fillId="7" borderId="25" xfId="0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center" vertical="center"/>
    </xf>
    <xf numFmtId="0" fontId="10" fillId="7" borderId="34" xfId="0" applyFont="1" applyFill="1" applyBorder="1" applyAlignment="1">
      <alignment horizontal="center" vertical="center"/>
    </xf>
    <xf numFmtId="0" fontId="10" fillId="7" borderId="31" xfId="0" applyFont="1" applyFill="1" applyBorder="1" applyAlignment="1">
      <alignment horizontal="center" vertical="center"/>
    </xf>
    <xf numFmtId="0" fontId="10" fillId="7" borderId="47" xfId="0" applyFont="1" applyFill="1" applyBorder="1" applyAlignment="1">
      <alignment horizontal="center" vertical="center"/>
    </xf>
    <xf numFmtId="0" fontId="10" fillId="7" borderId="30" xfId="0" applyFont="1" applyFill="1" applyBorder="1" applyAlignment="1">
      <alignment horizontal="center" vertical="center"/>
    </xf>
    <xf numFmtId="0" fontId="1" fillId="7" borderId="34" xfId="0" applyFont="1" applyFill="1" applyBorder="1" applyAlignment="1">
      <alignment horizontal="center" vertical="center"/>
    </xf>
    <xf numFmtId="0" fontId="1" fillId="7" borderId="31" xfId="0" applyFont="1" applyFill="1" applyBorder="1" applyAlignment="1">
      <alignment horizontal="center" vertical="center"/>
    </xf>
    <xf numFmtId="0" fontId="9" fillId="2" borderId="47" xfId="13" applyFont="1" applyFill="1" applyBorder="1" applyAlignment="1">
      <alignment horizontal="center" vertical="center"/>
    </xf>
    <xf numFmtId="0" fontId="9" fillId="2" borderId="30" xfId="13" applyFont="1" applyFill="1" applyBorder="1" applyAlignment="1">
      <alignment horizontal="center" vertical="center"/>
    </xf>
    <xf numFmtId="3" fontId="9" fillId="13" borderId="63" xfId="13" applyNumberFormat="1" applyFont="1" applyFill="1" applyBorder="1" applyAlignment="1">
      <alignment horizontal="center" vertical="center" wrapText="1"/>
    </xf>
    <xf numFmtId="3" fontId="9" fillId="13" borderId="46" xfId="13" applyNumberFormat="1" applyFont="1" applyFill="1" applyBorder="1" applyAlignment="1">
      <alignment horizontal="center" vertical="center" wrapText="1"/>
    </xf>
    <xf numFmtId="3" fontId="9" fillId="13" borderId="29" xfId="13" applyNumberFormat="1" applyFont="1" applyFill="1" applyBorder="1" applyAlignment="1">
      <alignment horizontal="center" vertical="center" wrapText="1"/>
    </xf>
    <xf numFmtId="3" fontId="9" fillId="13" borderId="19" xfId="13" applyNumberFormat="1" applyFont="1" applyFill="1" applyBorder="1" applyAlignment="1">
      <alignment horizontal="center" vertical="center" wrapText="1"/>
    </xf>
    <xf numFmtId="3" fontId="9" fillId="13" borderId="17" xfId="13" applyNumberFormat="1" applyFont="1" applyFill="1" applyBorder="1" applyAlignment="1">
      <alignment horizontal="center" vertical="center" wrapText="1"/>
    </xf>
    <xf numFmtId="3" fontId="9" fillId="13" borderId="15" xfId="13" applyNumberFormat="1" applyFont="1" applyFill="1" applyBorder="1" applyAlignment="1">
      <alignment horizontal="center" vertical="center" wrapText="1"/>
    </xf>
    <xf numFmtId="0" fontId="9" fillId="2" borderId="12" xfId="13" applyFont="1" applyFill="1" applyBorder="1" applyAlignment="1">
      <alignment horizontal="center" vertical="center"/>
    </xf>
    <xf numFmtId="0" fontId="9" fillId="2" borderId="11" xfId="13" applyFont="1" applyFill="1" applyBorder="1" applyAlignment="1">
      <alignment horizontal="center" vertical="center"/>
    </xf>
    <xf numFmtId="0" fontId="9" fillId="2" borderId="51" xfId="13" applyFont="1" applyFill="1" applyBorder="1" applyAlignment="1">
      <alignment horizontal="center" vertical="center"/>
    </xf>
    <xf numFmtId="3" fontId="9" fillId="13" borderId="28" xfId="13" applyNumberFormat="1" applyFont="1" applyFill="1" applyBorder="1" applyAlignment="1">
      <alignment horizontal="center" vertical="center" wrapText="1"/>
    </xf>
    <xf numFmtId="3" fontId="9" fillId="13" borderId="27" xfId="13" applyNumberFormat="1" applyFont="1" applyFill="1" applyBorder="1" applyAlignment="1">
      <alignment horizontal="center" vertical="center" wrapText="1"/>
    </xf>
    <xf numFmtId="3" fontId="9" fillId="13" borderId="26" xfId="13" applyNumberFormat="1" applyFont="1" applyFill="1" applyBorder="1" applyAlignment="1">
      <alignment horizontal="center" vertical="center" wrapText="1"/>
    </xf>
    <xf numFmtId="3" fontId="9" fillId="2" borderId="28" xfId="13" applyNumberFormat="1" applyFont="1" applyFill="1" applyBorder="1" applyAlignment="1">
      <alignment horizontal="center" vertical="justify"/>
    </xf>
    <xf numFmtId="3" fontId="9" fillId="2" borderId="27" xfId="13" applyNumberFormat="1" applyFont="1" applyFill="1" applyBorder="1" applyAlignment="1">
      <alignment horizontal="center" vertical="justify"/>
    </xf>
    <xf numFmtId="3" fontId="9" fillId="2" borderId="26" xfId="13" applyNumberFormat="1" applyFont="1" applyFill="1" applyBorder="1" applyAlignment="1">
      <alignment horizontal="center" vertical="justify"/>
    </xf>
    <xf numFmtId="3" fontId="9" fillId="2" borderId="64" xfId="13" applyNumberFormat="1" applyFont="1" applyFill="1" applyBorder="1" applyAlignment="1">
      <alignment horizontal="center" vertical="justify"/>
    </xf>
    <xf numFmtId="3" fontId="9" fillId="2" borderId="65" xfId="13" applyNumberFormat="1" applyFont="1" applyFill="1" applyBorder="1" applyAlignment="1">
      <alignment horizontal="center" vertical="justify"/>
    </xf>
    <xf numFmtId="3" fontId="9" fillId="2" borderId="66" xfId="13" applyNumberFormat="1" applyFont="1" applyFill="1" applyBorder="1" applyAlignment="1">
      <alignment horizontal="center" vertical="justify"/>
    </xf>
    <xf numFmtId="0" fontId="9" fillId="2" borderId="41" xfId="13" applyFont="1" applyFill="1" applyBorder="1" applyAlignment="1">
      <alignment horizontal="center" vertical="center"/>
    </xf>
    <xf numFmtId="0" fontId="9" fillId="2" borderId="68" xfId="13" applyFont="1" applyFill="1" applyBorder="1" applyAlignment="1">
      <alignment horizontal="center" vertical="center"/>
    </xf>
    <xf numFmtId="0" fontId="9" fillId="2" borderId="69" xfId="13" applyFont="1" applyFill="1" applyBorder="1" applyAlignment="1">
      <alignment horizontal="center" vertical="center"/>
    </xf>
    <xf numFmtId="0" fontId="9" fillId="2" borderId="67" xfId="13" applyFont="1" applyFill="1" applyBorder="1" applyAlignment="1">
      <alignment horizontal="center" vertical="center"/>
    </xf>
    <xf numFmtId="0" fontId="12" fillId="2" borderId="12" xfId="13" applyFont="1" applyFill="1" applyBorder="1" applyAlignment="1">
      <alignment horizontal="center" vertical="center"/>
    </xf>
    <xf numFmtId="0" fontId="12" fillId="2" borderId="11" xfId="13" applyFont="1" applyFill="1" applyBorder="1" applyAlignment="1">
      <alignment horizontal="center" vertical="center"/>
    </xf>
    <xf numFmtId="0" fontId="12" fillId="2" borderId="51" xfId="13" applyFont="1" applyFill="1" applyBorder="1" applyAlignment="1">
      <alignment horizontal="center" vertical="center"/>
    </xf>
    <xf numFmtId="0" fontId="19" fillId="5" borderId="34" xfId="13" applyFont="1" applyFill="1" applyBorder="1" applyAlignment="1">
      <alignment horizontal="center" vertical="center"/>
    </xf>
    <xf numFmtId="0" fontId="19" fillId="5" borderId="31" xfId="13" applyFont="1" applyFill="1" applyBorder="1" applyAlignment="1">
      <alignment horizontal="center" vertical="center"/>
    </xf>
    <xf numFmtId="0" fontId="19" fillId="5" borderId="55" xfId="13" applyFont="1" applyFill="1" applyBorder="1" applyAlignment="1">
      <alignment horizontal="center" vertical="center"/>
    </xf>
    <xf numFmtId="0" fontId="19" fillId="5" borderId="57" xfId="13" applyFont="1" applyFill="1" applyBorder="1" applyAlignment="1">
      <alignment horizontal="center" vertical="center"/>
    </xf>
    <xf numFmtId="0" fontId="19" fillId="5" borderId="56" xfId="13" applyFont="1" applyFill="1" applyBorder="1" applyAlignment="1">
      <alignment horizontal="center" vertical="center"/>
    </xf>
    <xf numFmtId="3" fontId="9" fillId="13" borderId="24" xfId="13" applyNumberFormat="1" applyFont="1" applyFill="1" applyBorder="1" applyAlignment="1">
      <alignment horizontal="center" vertical="center" wrapText="1"/>
    </xf>
    <xf numFmtId="3" fontId="9" fillId="13" borderId="31" xfId="13" applyNumberFormat="1" applyFont="1" applyFill="1" applyBorder="1" applyAlignment="1">
      <alignment horizontal="center" vertical="center" wrapText="1"/>
    </xf>
    <xf numFmtId="3" fontId="9" fillId="13" borderId="30" xfId="13" applyNumberFormat="1" applyFont="1" applyFill="1" applyBorder="1" applyAlignment="1">
      <alignment horizontal="center" vertical="center" wrapText="1"/>
    </xf>
    <xf numFmtId="0" fontId="9" fillId="2" borderId="55" xfId="13" applyFont="1" applyFill="1" applyBorder="1" applyAlignment="1">
      <alignment horizontal="center" vertical="center"/>
    </xf>
    <xf numFmtId="0" fontId="9" fillId="2" borderId="57" xfId="13" applyFont="1" applyFill="1" applyBorder="1" applyAlignment="1">
      <alignment horizontal="center" vertical="center"/>
    </xf>
    <xf numFmtId="0" fontId="9" fillId="2" borderId="56" xfId="13" applyFont="1" applyFill="1" applyBorder="1" applyAlignment="1">
      <alignment horizontal="center" vertical="center"/>
    </xf>
    <xf numFmtId="0" fontId="9" fillId="2" borderId="45" xfId="13" applyFont="1" applyFill="1" applyBorder="1" applyAlignment="1">
      <alignment horizontal="center" vertical="center"/>
    </xf>
    <xf numFmtId="0" fontId="9" fillId="2" borderId="15" xfId="13" applyFont="1" applyFill="1" applyBorder="1" applyAlignment="1">
      <alignment horizontal="center" vertical="center"/>
    </xf>
    <xf numFmtId="0" fontId="94" fillId="17" borderId="33" xfId="13" applyFont="1" applyFill="1" applyBorder="1" applyAlignment="1">
      <alignment horizontal="center" vertical="center"/>
    </xf>
    <xf numFmtId="0" fontId="94" fillId="17" borderId="30" xfId="13" applyFont="1" applyFill="1" applyBorder="1" applyAlignment="1">
      <alignment horizontal="center" vertical="center"/>
    </xf>
    <xf numFmtId="0" fontId="9" fillId="7" borderId="55" xfId="13" applyFont="1" applyFill="1" applyBorder="1" applyAlignment="1">
      <alignment horizontal="center" vertical="center"/>
    </xf>
    <xf numFmtId="0" fontId="9" fillId="7" borderId="57" xfId="13" applyFont="1" applyFill="1" applyBorder="1" applyAlignment="1">
      <alignment horizontal="center" vertical="center"/>
    </xf>
    <xf numFmtId="0" fontId="9" fillId="7" borderId="56" xfId="13" applyFont="1" applyFill="1" applyBorder="1" applyAlignment="1">
      <alignment horizontal="center" vertical="center"/>
    </xf>
    <xf numFmtId="0" fontId="9" fillId="7" borderId="67" xfId="30" applyFont="1" applyFill="1" applyBorder="1" applyAlignment="1">
      <alignment horizontal="center" vertical="center"/>
    </xf>
    <xf numFmtId="0" fontId="9" fillId="7" borderId="68" xfId="30" applyFont="1" applyFill="1" applyBorder="1" applyAlignment="1">
      <alignment horizontal="center" vertical="center"/>
    </xf>
    <xf numFmtId="0" fontId="9" fillId="7" borderId="69" xfId="30" applyFont="1" applyFill="1" applyBorder="1" applyAlignment="1">
      <alignment horizontal="center" vertical="center"/>
    </xf>
    <xf numFmtId="0" fontId="9" fillId="0" borderId="45" xfId="13" applyFont="1" applyFill="1" applyBorder="1" applyAlignment="1">
      <alignment horizontal="center" vertical="center"/>
    </xf>
    <xf numFmtId="0" fontId="9" fillId="0" borderId="15" xfId="13" applyFont="1" applyFill="1" applyBorder="1" applyAlignment="1">
      <alignment horizontal="center" vertical="center"/>
    </xf>
    <xf numFmtId="49" fontId="14" fillId="2" borderId="12" xfId="12" applyNumberFormat="1" applyFont="1" applyFill="1" applyBorder="1" applyAlignment="1">
      <alignment horizontal="center" vertical="center"/>
    </xf>
    <xf numFmtId="49" fontId="14" fillId="2" borderId="11" xfId="12" applyNumberFormat="1" applyFont="1" applyFill="1" applyBorder="1" applyAlignment="1">
      <alignment horizontal="center" vertical="center"/>
    </xf>
    <xf numFmtId="49" fontId="14" fillId="2" borderId="51" xfId="12" applyNumberFormat="1" applyFont="1" applyFill="1" applyBorder="1" applyAlignment="1">
      <alignment horizontal="center" vertical="center"/>
    </xf>
    <xf numFmtId="0" fontId="9" fillId="7" borderId="55" xfId="30" applyFont="1" applyFill="1" applyBorder="1" applyAlignment="1">
      <alignment horizontal="center" vertical="center"/>
    </xf>
    <xf numFmtId="0" fontId="9" fillId="7" borderId="57" xfId="30" applyFont="1" applyFill="1" applyBorder="1" applyAlignment="1">
      <alignment horizontal="center" vertical="center"/>
    </xf>
    <xf numFmtId="0" fontId="9" fillId="7" borderId="56" xfId="30" applyFont="1" applyFill="1" applyBorder="1" applyAlignment="1">
      <alignment horizontal="center" vertical="center"/>
    </xf>
    <xf numFmtId="0" fontId="9" fillId="6" borderId="34" xfId="13" applyFont="1" applyFill="1" applyBorder="1" applyAlignment="1">
      <alignment horizontal="center" vertical="center"/>
    </xf>
    <xf numFmtId="0" fontId="9" fillId="6" borderId="31" xfId="13" applyFont="1" applyFill="1" applyBorder="1" applyAlignment="1">
      <alignment horizontal="center" vertical="center"/>
    </xf>
    <xf numFmtId="0" fontId="9" fillId="6" borderId="55" xfId="13" applyFont="1" applyFill="1" applyBorder="1" applyAlignment="1">
      <alignment horizontal="center" vertical="center"/>
    </xf>
    <xf numFmtId="0" fontId="9" fillId="6" borderId="57" xfId="13" applyFont="1" applyFill="1" applyBorder="1" applyAlignment="1">
      <alignment horizontal="center" vertical="center"/>
    </xf>
    <xf numFmtId="0" fontId="9" fillId="6" borderId="56" xfId="13" applyFont="1" applyFill="1" applyBorder="1" applyAlignment="1">
      <alignment horizontal="center" vertical="center"/>
    </xf>
    <xf numFmtId="0" fontId="9" fillId="7" borderId="34" xfId="13" applyFont="1" applyFill="1" applyBorder="1" applyAlignment="1">
      <alignment horizontal="center" vertical="center"/>
    </xf>
    <xf numFmtId="0" fontId="9" fillId="7" borderId="31" xfId="13" applyFont="1" applyFill="1" applyBorder="1" applyAlignment="1">
      <alignment horizontal="center" vertical="center"/>
    </xf>
    <xf numFmtId="0" fontId="41" fillId="7" borderId="34" xfId="20" applyFont="1" applyFill="1" applyBorder="1" applyAlignment="1">
      <alignment horizontal="center" vertical="center" wrapText="1"/>
    </xf>
    <xf numFmtId="0" fontId="41" fillId="7" borderId="31" xfId="20" applyFont="1" applyFill="1" applyBorder="1" applyAlignment="1">
      <alignment horizontal="center" vertical="center" wrapText="1"/>
    </xf>
    <xf numFmtId="0" fontId="41" fillId="7" borderId="34" xfId="20" applyFont="1" applyFill="1" applyBorder="1" applyAlignment="1">
      <alignment horizontal="center" vertical="center"/>
    </xf>
    <xf numFmtId="0" fontId="41" fillId="7" borderId="31" xfId="20" applyFont="1" applyFill="1" applyBorder="1" applyAlignment="1">
      <alignment horizontal="center" vertical="center"/>
    </xf>
    <xf numFmtId="49" fontId="9" fillId="2" borderId="34" xfId="20" applyNumberFormat="1" applyFont="1" applyFill="1" applyBorder="1" applyAlignment="1">
      <alignment horizontal="center" vertical="center"/>
    </xf>
    <xf numFmtId="49" fontId="9" fillId="2" borderId="31" xfId="20" applyNumberFormat="1" applyFont="1" applyFill="1" applyBorder="1" applyAlignment="1">
      <alignment horizontal="center" vertical="center"/>
    </xf>
    <xf numFmtId="0" fontId="46" fillId="7" borderId="55" xfId="19" applyFont="1" applyFill="1" applyBorder="1" applyAlignment="1">
      <alignment horizontal="center" vertical="center" wrapText="1"/>
    </xf>
    <xf numFmtId="0" fontId="46" fillId="7" borderId="57" xfId="19" applyFont="1" applyFill="1" applyBorder="1" applyAlignment="1">
      <alignment horizontal="center" vertical="center" wrapText="1"/>
    </xf>
    <xf numFmtId="0" fontId="46" fillId="7" borderId="56" xfId="19" applyFont="1" applyFill="1" applyBorder="1" applyAlignment="1">
      <alignment horizontal="center" vertical="center" wrapText="1"/>
    </xf>
    <xf numFmtId="49" fontId="9" fillId="7" borderId="55" xfId="13" applyNumberFormat="1" applyFont="1" applyFill="1" applyBorder="1" applyAlignment="1">
      <alignment horizontal="center" vertical="center"/>
    </xf>
    <xf numFmtId="49" fontId="9" fillId="7" borderId="57" xfId="13" applyNumberFormat="1" applyFont="1" applyFill="1" applyBorder="1" applyAlignment="1">
      <alignment horizontal="center" vertical="center"/>
    </xf>
    <xf numFmtId="49" fontId="9" fillId="7" borderId="56" xfId="13" applyNumberFormat="1" applyFont="1" applyFill="1" applyBorder="1" applyAlignment="1">
      <alignment horizontal="center" vertical="center"/>
    </xf>
    <xf numFmtId="49" fontId="45" fillId="2" borderId="47" xfId="13" applyNumberFormat="1" applyFont="1" applyFill="1" applyBorder="1" applyAlignment="1">
      <alignment horizontal="center"/>
    </xf>
    <xf numFmtId="49" fontId="45" fillId="2" borderId="30" xfId="13" applyNumberFormat="1" applyFont="1" applyFill="1" applyBorder="1" applyAlignment="1">
      <alignment horizontal="center"/>
    </xf>
    <xf numFmtId="49" fontId="9" fillId="2" borderId="47" xfId="13" applyNumberFormat="1" applyFont="1" applyFill="1" applyBorder="1" applyAlignment="1">
      <alignment horizontal="center" vertical="center"/>
    </xf>
    <xf numFmtId="49" fontId="9" fillId="2" borderId="30" xfId="13" applyNumberFormat="1" applyFont="1" applyFill="1" applyBorder="1" applyAlignment="1">
      <alignment horizontal="center" vertical="center"/>
    </xf>
    <xf numFmtId="49" fontId="9" fillId="7" borderId="67" xfId="13" applyNumberFormat="1" applyFont="1" applyFill="1" applyBorder="1" applyAlignment="1">
      <alignment horizontal="center" vertical="center"/>
    </xf>
    <xf numFmtId="49" fontId="9" fillId="7" borderId="68" xfId="13" applyNumberFormat="1" applyFont="1" applyFill="1" applyBorder="1" applyAlignment="1">
      <alignment horizontal="center" vertical="center"/>
    </xf>
    <xf numFmtId="49" fontId="9" fillId="7" borderId="69" xfId="13" applyNumberFormat="1" applyFont="1" applyFill="1" applyBorder="1" applyAlignment="1">
      <alignment horizontal="center" vertical="center"/>
    </xf>
    <xf numFmtId="49" fontId="10" fillId="16" borderId="34" xfId="13" applyNumberFormat="1" applyFont="1" applyFill="1" applyBorder="1" applyAlignment="1">
      <alignment horizontal="center" vertical="center"/>
    </xf>
    <xf numFmtId="49" fontId="10" fillId="16" borderId="31" xfId="13" applyNumberFormat="1" applyFont="1" applyFill="1" applyBorder="1" applyAlignment="1">
      <alignment horizontal="center" vertical="center"/>
    </xf>
    <xf numFmtId="0" fontId="9" fillId="2" borderId="47" xfId="20" applyFont="1" applyFill="1" applyBorder="1" applyAlignment="1">
      <alignment horizontal="center" vertical="center"/>
    </xf>
    <xf numFmtId="0" fontId="9" fillId="2" borderId="30" xfId="20" applyFont="1" applyFill="1" applyBorder="1" applyAlignment="1">
      <alignment horizontal="center" vertical="center"/>
    </xf>
    <xf numFmtId="49" fontId="9" fillId="7" borderId="55" xfId="30" applyNumberFormat="1" applyFont="1" applyFill="1" applyBorder="1" applyAlignment="1">
      <alignment horizontal="center" vertical="center"/>
    </xf>
    <xf numFmtId="49" fontId="9" fillId="7" borderId="57" xfId="30" applyNumberFormat="1" applyFont="1" applyFill="1" applyBorder="1" applyAlignment="1">
      <alignment horizontal="center" vertical="center"/>
    </xf>
    <xf numFmtId="49" fontId="9" fillId="7" borderId="56" xfId="30" applyNumberFormat="1" applyFont="1" applyFill="1" applyBorder="1" applyAlignment="1">
      <alignment horizontal="center" vertical="center"/>
    </xf>
    <xf numFmtId="3" fontId="92" fillId="17" borderId="37" xfId="30" applyNumberFormat="1" applyFont="1" applyFill="1" applyBorder="1" applyAlignment="1">
      <alignment horizontal="right" vertical="center"/>
    </xf>
    <xf numFmtId="3" fontId="92" fillId="17" borderId="33" xfId="30" applyNumberFormat="1" applyFont="1" applyFill="1" applyBorder="1" applyAlignment="1">
      <alignment horizontal="right" vertical="center"/>
    </xf>
    <xf numFmtId="3" fontId="10" fillId="12" borderId="37" xfId="30" applyNumberFormat="1" applyFont="1" applyFill="1" applyBorder="1" applyAlignment="1">
      <alignment horizontal="center" vertical="center"/>
    </xf>
    <xf numFmtId="3" fontId="10" fillId="12" borderId="33" xfId="30" applyNumberFormat="1" applyFont="1" applyFill="1" applyBorder="1" applyAlignment="1">
      <alignment horizontal="center" vertical="center"/>
    </xf>
    <xf numFmtId="3" fontId="10" fillId="0" borderId="37" xfId="30" applyNumberFormat="1" applyFont="1" applyBorder="1" applyAlignment="1">
      <alignment horizontal="center" vertical="center"/>
    </xf>
    <xf numFmtId="3" fontId="10" fillId="0" borderId="33" xfId="30" applyNumberFormat="1" applyFont="1" applyBorder="1" applyAlignment="1">
      <alignment horizontal="center" vertical="center"/>
    </xf>
    <xf numFmtId="49" fontId="10" fillId="0" borderId="37" xfId="13" applyNumberFormat="1" applyFont="1" applyFill="1" applyBorder="1" applyAlignment="1">
      <alignment horizontal="center" vertical="center"/>
    </xf>
    <xf numFmtId="49" fontId="10" fillId="0" borderId="33" xfId="13" applyNumberFormat="1" applyFont="1" applyFill="1" applyBorder="1" applyAlignment="1">
      <alignment horizontal="center" vertical="center"/>
    </xf>
    <xf numFmtId="49" fontId="9" fillId="2" borderId="45" xfId="13" applyNumberFormat="1" applyFont="1" applyFill="1" applyBorder="1" applyAlignment="1">
      <alignment horizontal="center" vertical="center"/>
    </xf>
    <xf numFmtId="49" fontId="9" fillId="2" borderId="15" xfId="13" applyNumberFormat="1" applyFont="1" applyFill="1" applyBorder="1" applyAlignment="1">
      <alignment horizontal="center" vertical="center"/>
    </xf>
    <xf numFmtId="3" fontId="15" fillId="0" borderId="37" xfId="30" applyNumberFormat="1" applyFont="1" applyBorder="1" applyAlignment="1">
      <alignment horizontal="center" vertical="center"/>
    </xf>
    <xf numFmtId="3" fontId="15" fillId="0" borderId="33" xfId="30" applyNumberFormat="1" applyFont="1" applyBorder="1" applyAlignment="1">
      <alignment horizontal="center" vertical="center"/>
    </xf>
    <xf numFmtId="49" fontId="9" fillId="2" borderId="49" xfId="13" applyNumberFormat="1" applyFont="1" applyFill="1" applyBorder="1" applyAlignment="1">
      <alignment horizontal="center" vertical="center"/>
    </xf>
    <xf numFmtId="49" fontId="9" fillId="2" borderId="17" xfId="13" applyNumberFormat="1" applyFont="1" applyFill="1" applyBorder="1" applyAlignment="1">
      <alignment horizontal="center" vertical="center"/>
    </xf>
    <xf numFmtId="49" fontId="10" fillId="0" borderId="39" xfId="13" applyNumberFormat="1" applyFont="1" applyFill="1" applyBorder="1" applyAlignment="1">
      <alignment horizontal="center" vertical="center"/>
    </xf>
    <xf numFmtId="49" fontId="10" fillId="0" borderId="50" xfId="13" applyNumberFormat="1" applyFont="1" applyFill="1" applyBorder="1" applyAlignment="1">
      <alignment horizontal="center" vertical="center"/>
    </xf>
    <xf numFmtId="3" fontId="92" fillId="17" borderId="131" xfId="30" applyNumberFormat="1" applyFont="1" applyFill="1" applyBorder="1" applyAlignment="1">
      <alignment horizontal="right" vertical="center"/>
    </xf>
    <xf numFmtId="3" fontId="92" fillId="17" borderId="54" xfId="30" applyNumberFormat="1" applyFont="1" applyFill="1" applyBorder="1" applyAlignment="1">
      <alignment horizontal="right" vertical="center"/>
    </xf>
    <xf numFmtId="0" fontId="10" fillId="0" borderId="0" xfId="13" applyFont="1" applyAlignment="1">
      <alignment horizontal="center" vertical="center"/>
    </xf>
    <xf numFmtId="0" fontId="10" fillId="0" borderId="0" xfId="13" applyFont="1" applyAlignment="1">
      <alignment horizontal="right" vertical="center"/>
    </xf>
    <xf numFmtId="0" fontId="9" fillId="2" borderId="94" xfId="13" applyFont="1" applyFill="1" applyBorder="1" applyAlignment="1">
      <alignment horizontal="center" vertical="center"/>
    </xf>
    <xf numFmtId="3" fontId="9" fillId="13" borderId="132" xfId="13" applyNumberFormat="1" applyFont="1" applyFill="1" applyBorder="1" applyAlignment="1">
      <alignment horizontal="center" vertical="center" wrapText="1"/>
    </xf>
    <xf numFmtId="3" fontId="14" fillId="7" borderId="91" xfId="28" applyNumberFormat="1" applyFont="1" applyFill="1" applyBorder="1" applyAlignment="1">
      <alignment horizontal="center" vertical="center"/>
    </xf>
    <xf numFmtId="3" fontId="14" fillId="7" borderId="92" xfId="28" applyNumberFormat="1" applyFont="1" applyFill="1" applyBorder="1" applyAlignment="1">
      <alignment horizontal="center" vertical="center"/>
    </xf>
    <xf numFmtId="3" fontId="14" fillId="7" borderId="93" xfId="28" applyNumberFormat="1" applyFont="1" applyFill="1" applyBorder="1" applyAlignment="1">
      <alignment horizontal="center" vertical="center"/>
    </xf>
    <xf numFmtId="49" fontId="9" fillId="2" borderId="55" xfId="13" applyNumberFormat="1" applyFont="1" applyFill="1" applyBorder="1" applyAlignment="1">
      <alignment horizontal="center" vertical="center"/>
    </xf>
    <xf numFmtId="49" fontId="9" fillId="2" borderId="57" xfId="13" applyNumberFormat="1" applyFont="1" applyFill="1" applyBorder="1" applyAlignment="1">
      <alignment horizontal="center" vertical="center"/>
    </xf>
    <xf numFmtId="49" fontId="9" fillId="2" borderId="56" xfId="13" applyNumberFormat="1" applyFont="1" applyFill="1" applyBorder="1" applyAlignment="1">
      <alignment horizontal="center" vertical="center"/>
    </xf>
    <xf numFmtId="49" fontId="9" fillId="7" borderId="55" xfId="13" applyNumberFormat="1" applyFont="1" applyFill="1" applyBorder="1" applyAlignment="1">
      <alignment horizontal="center"/>
    </xf>
    <xf numFmtId="49" fontId="9" fillId="7" borderId="57" xfId="13" applyNumberFormat="1" applyFont="1" applyFill="1" applyBorder="1" applyAlignment="1">
      <alignment horizontal="center"/>
    </xf>
    <xf numFmtId="49" fontId="9" fillId="7" borderId="56" xfId="13" applyNumberFormat="1" applyFont="1" applyFill="1" applyBorder="1" applyAlignment="1">
      <alignment horizontal="center"/>
    </xf>
    <xf numFmtId="49" fontId="15" fillId="3" borderId="59" xfId="13" applyNumberFormat="1" applyFont="1" applyFill="1" applyBorder="1" applyAlignment="1">
      <alignment horizontal="center" vertical="center"/>
    </xf>
    <xf numFmtId="49" fontId="15" fillId="3" borderId="49" xfId="13" applyNumberFormat="1" applyFont="1" applyFill="1" applyBorder="1" applyAlignment="1">
      <alignment horizontal="center" vertical="center"/>
    </xf>
    <xf numFmtId="49" fontId="15" fillId="3" borderId="19" xfId="13" applyNumberFormat="1" applyFont="1" applyFill="1" applyBorder="1" applyAlignment="1">
      <alignment horizontal="center" vertical="center"/>
    </xf>
    <xf numFmtId="49" fontId="15" fillId="3" borderId="17" xfId="13" applyNumberFormat="1" applyFont="1" applyFill="1" applyBorder="1" applyAlignment="1">
      <alignment horizontal="center" vertical="center"/>
    </xf>
    <xf numFmtId="49" fontId="15" fillId="3" borderId="63" xfId="13" applyNumberFormat="1" applyFont="1" applyFill="1" applyBorder="1" applyAlignment="1">
      <alignment horizontal="center" vertical="center"/>
    </xf>
    <xf numFmtId="49" fontId="15" fillId="3" borderId="46" xfId="13" applyNumberFormat="1" applyFont="1" applyFill="1" applyBorder="1" applyAlignment="1">
      <alignment horizontal="center" vertical="center"/>
    </xf>
  </cellXfs>
  <cellStyles count="58">
    <cellStyle name="čárky" xfId="1" builtinId="3"/>
    <cellStyle name="čárky 2" xfId="2"/>
    <cellStyle name="čárky 3" xfId="3"/>
    <cellStyle name="čárky 4" xfId="4"/>
    <cellStyle name="čárky 5" xfId="55"/>
    <cellStyle name="měny" xfId="56" builtinId="4"/>
    <cellStyle name="měny 2" xfId="5"/>
    <cellStyle name="měny 3" xfId="6"/>
    <cellStyle name="normální" xfId="0" builtinId="0"/>
    <cellStyle name="normální 10" xfId="7"/>
    <cellStyle name="normální 10 2" xfId="8"/>
    <cellStyle name="normální 10 3" xfId="9"/>
    <cellStyle name="normální 10 3 2" xfId="10"/>
    <cellStyle name="normální 10 3 2 2" xfId="11"/>
    <cellStyle name="normální 10 3 2 3" xfId="12"/>
    <cellStyle name="normální 11" xfId="13"/>
    <cellStyle name="Normální 12" xfId="14"/>
    <cellStyle name="Normální 13" xfId="15"/>
    <cellStyle name="normální 14" xfId="16"/>
    <cellStyle name="normální 14 2" xfId="17"/>
    <cellStyle name="normální 15" xfId="18"/>
    <cellStyle name="normální 15 2" xfId="19"/>
    <cellStyle name="normální 2" xfId="20"/>
    <cellStyle name="normální 2 2" xfId="21"/>
    <cellStyle name="normální 2 2_162 FINANCOVÁNÍ INVESTIČNÍCH A NEINVESTIČNÍCH AKCÍ v3" xfId="53"/>
    <cellStyle name="normální 2_162 FINANCOVÁNÍ INVESTIČNÍCH A NEINVESTIČNÍCH AKCÍ v3" xfId="22"/>
    <cellStyle name="normální 3" xfId="23"/>
    <cellStyle name="normální 3 2" xfId="24"/>
    <cellStyle name="normální 3 3" xfId="25"/>
    <cellStyle name="normální 3 4" xfId="26"/>
    <cellStyle name="normální 3 4 2" xfId="27"/>
    <cellStyle name="normální 3 4 2 2" xfId="28"/>
    <cellStyle name="normální 3 5" xfId="29"/>
    <cellStyle name="normální 4" xfId="30"/>
    <cellStyle name="normální 4 2" xfId="31"/>
    <cellStyle name="normální 4 2 2" xfId="32"/>
    <cellStyle name="normální 4 2 3" xfId="33"/>
    <cellStyle name="normální 4 2 4" xfId="34"/>
    <cellStyle name="normální 4 2 5" xfId="35"/>
    <cellStyle name="normální 4 2_výhled dle souč.výdajů 06_10_2011 upr. o uspory(OMM,ORI)" xfId="36"/>
    <cellStyle name="normální 4_162 FINANCOVÁNÍ INVESTIČNÍCH A NEINVESTIČNÍCH AKCÍ v3" xfId="37"/>
    <cellStyle name="normální 5" xfId="38"/>
    <cellStyle name="normální 6" xfId="39"/>
    <cellStyle name="normální 7" xfId="40"/>
    <cellStyle name="normální 8" xfId="41"/>
    <cellStyle name="Normální 9" xfId="42"/>
    <cellStyle name="normální_rekap odbory_1" xfId="43"/>
    <cellStyle name="normální_rekap odbory_2" xfId="44"/>
    <cellStyle name="procent" xfId="57" builtinId="5"/>
    <cellStyle name="procent 2" xfId="45"/>
    <cellStyle name="procent 3" xfId="46"/>
    <cellStyle name="procent 4" xfId="47"/>
    <cellStyle name="procent 5" xfId="48"/>
    <cellStyle name="procent 5 2" xfId="54"/>
    <cellStyle name="Procenta 2" xfId="49"/>
    <cellStyle name="Procenta 2 2" xfId="50"/>
    <cellStyle name="VELKÁ" xfId="51"/>
    <cellStyle name="VELKÁ PÍSMENA" xfId="52"/>
  </cellStyles>
  <dxfs count="2">
    <dxf>
      <numFmt numFmtId="35" formatCode="_-* #,##0.00\ _K_č_-;\-* #,##0.00\ _K_č_-;_-* &quot;-&quot;??\ _K_č_-;_-@_-"/>
    </dxf>
    <dxf>
      <numFmt numFmtId="35" formatCode="_-* #,##0.00\ _K_č_-;\-* #,##0.00\ _K_č_-;_-* &quot;-&quot;??\ _K_č_-;_-@_-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pivotCacheDefinition" Target="pivotCache/pivotCacheDefinition1.xml"/><Relationship Id="rId30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1"/>
  <c:chart>
    <c:view3D>
      <c:rotX val="30"/>
      <c:rotY val="10"/>
      <c:perspective val="30"/>
    </c:view3D>
    <c:plotArea>
      <c:layout>
        <c:manualLayout>
          <c:layoutTarget val="inner"/>
          <c:xMode val="edge"/>
          <c:yMode val="edge"/>
          <c:x val="1.621584866658653E-3"/>
          <c:y val="9.2189889307314789E-3"/>
          <c:w val="0.99813834151559999"/>
          <c:h val="0.99078101106926852"/>
        </c:manualLayout>
      </c:layout>
      <c:pie3DChart>
        <c:varyColors val="1"/>
        <c:ser>
          <c:idx val="0"/>
          <c:order val="0"/>
          <c:spPr>
            <a:ln w="38100">
              <a:solidFill>
                <a:schemeClr val="tx1"/>
              </a:solidFill>
            </a:ln>
            <a:scene3d>
              <a:camera prst="orthographicFront"/>
              <a:lightRig rig="threePt" dir="t"/>
            </a:scene3d>
            <a:sp3d>
              <a:contourClr>
                <a:srgbClr val="000000"/>
              </a:contourClr>
            </a:sp3d>
          </c:spPr>
          <c:explosion val="10"/>
          <c:dPt>
            <c:idx val="0"/>
            <c:spPr>
              <a:solidFill>
                <a:srgbClr val="FF0000"/>
              </a:solidFill>
              <a:ln w="38100">
                <a:solidFill>
                  <a:schemeClr val="tx1"/>
                </a:solidFill>
              </a:ln>
              <a:scene3d>
                <a:camera prst="orthographicFront"/>
                <a:lightRig rig="threePt" dir="t"/>
              </a:scene3d>
              <a:sp3d>
                <a:contourClr>
                  <a:srgbClr val="000000"/>
                </a:contourClr>
              </a:sp3d>
            </c:spPr>
          </c:dPt>
          <c:dPt>
            <c:idx val="1"/>
            <c:explosion val="8"/>
          </c:dPt>
          <c:dLbls>
            <c:dLbl>
              <c:idx val="0"/>
              <c:layout>
                <c:manualLayout>
                  <c:x val="-0.17534261800336848"/>
                  <c:y val="-1.840194026379614E-2"/>
                </c:manualLayout>
              </c:layout>
              <c:tx>
                <c:rich>
                  <a:bodyPr/>
                  <a:lstStyle/>
                  <a:p>
                    <a:r>
                      <a:rPr lang="cs-CZ" sz="1200" b="1">
                        <a:solidFill>
                          <a:schemeClr val="dk1"/>
                        </a:solidFill>
                        <a:latin typeface="+mn-lt"/>
                        <a:ea typeface="+mn-ea"/>
                        <a:cs typeface="+mn-cs"/>
                      </a:rPr>
                      <a:t>PŘÍJMY</a:t>
                    </a:r>
                    <a:endParaRPr lang="en-US" sz="1200" b="1"/>
                  </a:p>
                </c:rich>
              </c:tx>
              <c:dLblPos val="bestFit"/>
              <c:showPercent val="1"/>
              <c:separator>
</c:separator>
            </c:dLbl>
            <c:dLbl>
              <c:idx val="1"/>
              <c:layout>
                <c:manualLayout>
                  <c:x val="3.7413668001397699E-3"/>
                  <c:y val="-0.11681783447955081"/>
                </c:manualLayout>
              </c:layout>
              <c:tx>
                <c:rich>
                  <a:bodyPr/>
                  <a:lstStyle/>
                  <a:p>
                    <a:r>
                      <a:rPr lang="cs-CZ" sz="1200" b="1">
                        <a:solidFill>
                          <a:schemeClr val="dk1"/>
                        </a:solidFill>
                        <a:latin typeface="+mn-lt"/>
                        <a:ea typeface="+mn-ea"/>
                        <a:cs typeface="+mn-cs"/>
                      </a:rPr>
                      <a:t>VLASTNÍ</a:t>
                    </a:r>
                    <a:r>
                      <a:rPr lang="cs-CZ" sz="1200" b="1" baseline="0">
                        <a:solidFill>
                          <a:schemeClr val="dk1"/>
                        </a:solidFill>
                        <a:latin typeface="+mn-lt"/>
                        <a:ea typeface="+mn-ea"/>
                        <a:cs typeface="+mn-cs"/>
                      </a:rPr>
                      <a:t> </a:t>
                    </a:r>
                    <a:r>
                      <a:rPr lang="cs-CZ" sz="1200" b="1">
                        <a:solidFill>
                          <a:schemeClr val="dk1"/>
                        </a:solidFill>
                        <a:latin typeface="+mn-lt"/>
                        <a:ea typeface="+mn-ea"/>
                        <a:cs typeface="+mn-cs"/>
                      </a:rPr>
                      <a:t>ZDROJE</a:t>
                    </a:r>
                    <a:endParaRPr lang="en-US" sz="1200" b="1"/>
                  </a:p>
                </c:rich>
              </c:tx>
              <c:dLblPos val="bestFit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-0.16074910017355321"/>
                  <c:y val="0.32937306887272866"/>
                </c:manualLayout>
              </c:layout>
              <c:tx>
                <c:rich>
                  <a:bodyPr/>
                  <a:lstStyle/>
                  <a:p>
                    <a:r>
                      <a:rPr lang="cs-CZ" sz="1200" b="1">
                        <a:solidFill>
                          <a:schemeClr val="dk1"/>
                        </a:solidFill>
                        <a:latin typeface="+mn-lt"/>
                        <a:ea typeface="+mn-ea"/>
                        <a:cs typeface="+mn-cs"/>
                      </a:rPr>
                      <a:t>BĚŽNÉ VÝDAJE</a:t>
                    </a:r>
                    <a:endParaRPr lang="en-US"/>
                  </a:p>
                </c:rich>
              </c:tx>
              <c:dLblPos val="bestFit"/>
              <c:showSerName val="1"/>
              <c:showPercent val="1"/>
              <c:separator>
</c:separator>
            </c:dLbl>
            <c:dLbl>
              <c:idx val="4"/>
              <c:tx>
                <c:rich>
                  <a:bodyPr/>
                  <a:lstStyle/>
                  <a:p>
                    <a:pPr algn="ctr" rtl="0">
                      <a:defRPr>
                        <a:solidFill>
                          <a:schemeClr val="dk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cs-CZ" sz="1200" b="1">
                        <a:solidFill>
                          <a:schemeClr val="dk1"/>
                        </a:solidFill>
                        <a:latin typeface="+mn-lt"/>
                        <a:ea typeface="+mn-ea"/>
                        <a:cs typeface="+mn-cs"/>
                      </a:rPr>
                      <a:t>KAPITÁLOVÉ    VÝDAJE</a:t>
                    </a:r>
                    <a:endParaRPr lang="cs-CZ" sz="1200" b="1"/>
                  </a:p>
                </c:rich>
              </c:tx>
              <c:numFmt formatCode="@" sourceLinked="0"/>
              <c:spPr>
                <a:solidFill>
                  <a:schemeClr val="lt1"/>
                </a:solidFill>
                <a:ln w="19050" cap="flat" cmpd="sng" algn="ctr">
                  <a:solidFill>
                    <a:schemeClr val="dk1"/>
                  </a:solidFill>
                  <a:prstDash val="solid"/>
                </a:ln>
                <a:effectLst/>
              </c:spPr>
              <c:dLblPos val="ctr"/>
              <c:showPercent val="1"/>
              <c:separator>
</c:separator>
            </c:dLbl>
            <c:spPr>
              <a:solidFill>
                <a:schemeClr val="lt1"/>
              </a:solidFill>
              <a:ln w="19050" cap="flat" cmpd="sng" algn="ctr">
                <a:solidFill>
                  <a:schemeClr val="dk1"/>
                </a:solidFill>
                <a:prstDash val="solid"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SerName val="1"/>
            <c:showPercent val="1"/>
            <c:separator>
</c:separator>
          </c:dLbls>
          <c:cat>
            <c:strRef>
              <c:f>('str. 1_celk.rekap'!$C$37:$C$38,'str. 1_celk.rekap'!$C$46:$C$47)</c:f>
              <c:strCache>
                <c:ptCount val="4"/>
                <c:pt idx="0">
                  <c:v>PŘÍJMY</c:v>
                </c:pt>
                <c:pt idx="1">
                  <c:v>FINANCOVÁNÍ</c:v>
                </c:pt>
                <c:pt idx="2">
                  <c:v>BĚŽNÉ VÝDAJE</c:v>
                </c:pt>
                <c:pt idx="3">
                  <c:v>KAPITÁLOVÉ VÝDAJE</c:v>
                </c:pt>
              </c:strCache>
            </c:strRef>
          </c:cat>
          <c:val>
            <c:numRef>
              <c:f>('str. 1_celk.rekap'!$D$37:$D$38,'str. 1_celk.rekap'!$D$46:$D$47)</c:f>
              <c:numCache>
                <c:formatCode>#,##0</c:formatCode>
                <c:ptCount val="4"/>
                <c:pt idx="0">
                  <c:v>1046315</c:v>
                </c:pt>
                <c:pt idx="1">
                  <c:v>103839.91200000001</c:v>
                </c:pt>
                <c:pt idx="2">
                  <c:v>820474.652</c:v>
                </c:pt>
                <c:pt idx="3">
                  <c:v>329680.26</c:v>
                </c:pt>
              </c:numCache>
            </c:numRef>
          </c:val>
        </c:ser>
      </c:pie3DChart>
      <c:spPr>
        <a:gradFill rotWithShape="1">
          <a:gsLst>
            <a:gs pos="0">
              <a:schemeClr val="accent1">
                <a:tint val="50000"/>
                <a:satMod val="300000"/>
              </a:schemeClr>
            </a:gs>
            <a:gs pos="35000">
              <a:schemeClr val="accent1">
                <a:tint val="37000"/>
                <a:satMod val="300000"/>
              </a:schemeClr>
            </a:gs>
            <a:gs pos="100000">
              <a:schemeClr val="accent1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noFill/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plotVisOnly val="1"/>
    <c:dispBlanksAs val="zero"/>
  </c:chart>
  <c:spPr>
    <a:gradFill rotWithShape="1">
      <a:gsLst>
        <a:gs pos="0">
          <a:schemeClr val="accent1">
            <a:tint val="50000"/>
            <a:satMod val="300000"/>
          </a:schemeClr>
        </a:gs>
        <a:gs pos="35000">
          <a:schemeClr val="accent1">
            <a:tint val="37000"/>
            <a:satMod val="300000"/>
          </a:schemeClr>
        </a:gs>
        <a:gs pos="100000">
          <a:schemeClr val="accent1">
            <a:tint val="15000"/>
            <a:satMod val="350000"/>
          </a:schemeClr>
        </a:gs>
      </a:gsLst>
      <a:lin ang="16200000" scaled="1"/>
    </a:gradFill>
    <a:ln w="57150" cap="flat" cmpd="sng" algn="ctr">
      <a:solidFill>
        <a:schemeClr val="tx2"/>
      </a:solidFill>
      <a:prstDash val="solid"/>
    </a:ln>
    <a:effectLst>
      <a:glow rad="101600">
        <a:schemeClr val="accent1">
          <a:satMod val="175000"/>
          <a:alpha val="40000"/>
        </a:schemeClr>
      </a:glow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autoTitleDeleted val="1"/>
    <c:view3D>
      <c:rotX val="40"/>
      <c:rotY val="70"/>
      <c:perspective val="10"/>
    </c:view3D>
    <c:plotArea>
      <c:layout>
        <c:manualLayout>
          <c:layoutTarget val="inner"/>
          <c:xMode val="edge"/>
          <c:yMode val="edge"/>
          <c:x val="4.6372963710114762E-2"/>
          <c:y val="0.14910813823857302"/>
          <c:w val="0.79889914624652358"/>
          <c:h val="0.36538461538467037"/>
        </c:manualLayout>
      </c:layout>
      <c:pie3DChart>
        <c:varyColors val="1"/>
        <c:ser>
          <c:idx val="0"/>
          <c:order val="0"/>
          <c:tx>
            <c:v>Příjmy 2014</c:v>
          </c:tx>
          <c:spPr>
            <a:scene3d>
              <a:camera prst="orthographicFront"/>
              <a:lightRig rig="threePt" dir="t"/>
            </a:scene3d>
            <a:sp3d prstMaterial="metal"/>
          </c:spPr>
          <c:explosion val="10"/>
          <c:dLbls>
            <c:dLbl>
              <c:idx val="0"/>
              <c:layout>
                <c:manualLayout>
                  <c:x val="0.15369659371091021"/>
                  <c:y val="-0.1247009717430819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bestFit"/>
              <c:showCatName val="1"/>
              <c:showPercent val="1"/>
              <c:separator>
</c:separator>
            </c:dLbl>
            <c:dLbl>
              <c:idx val="1"/>
              <c:layout>
                <c:manualLayout>
                  <c:x val="-6.0537370845173841E-2"/>
                  <c:y val="1.067793783302160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bestFit"/>
              <c:showCatName val="1"/>
              <c:showPercent val="1"/>
              <c:separator>
</c:separator>
            </c:dLbl>
            <c:dLbl>
              <c:idx val="2"/>
              <c:layout>
                <c:manualLayout>
                  <c:x val="-0.11553285178195767"/>
                  <c:y val="7.27296587926509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bestFit"/>
              <c:showCatName val="1"/>
              <c:showPercent val="1"/>
              <c:separator>
</c:separator>
            </c:dLbl>
            <c:dLbl>
              <c:idx val="3"/>
              <c:layout>
                <c:manualLayout>
                  <c:x val="-4.9460387699471524E-2"/>
                  <c:y val="-5.74368630342616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bestFit"/>
              <c:showCatName val="1"/>
              <c:showPercent val="1"/>
              <c:separator>
</c:separator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/>
                </a:pPr>
                <a:endParaRPr lang="cs-CZ"/>
              </a:p>
            </c:txPr>
            <c:dLblPos val="ctr"/>
            <c:showCatName val="1"/>
            <c:showPercent val="1"/>
            <c:separator>
</c:separator>
            <c:showLeaderLines val="1"/>
          </c:dLbls>
          <c:cat>
            <c:strRef>
              <c:f>'graf-příjmy'!$B$77:$B$80</c:f>
              <c:strCache>
                <c:ptCount val="4"/>
                <c:pt idx="0">
                  <c:v> DAŇOVÉ PŘÍJMY</c:v>
                </c:pt>
                <c:pt idx="1">
                  <c:v> NEDAŇOVÉ PŘÍJMY</c:v>
                </c:pt>
                <c:pt idx="2">
                  <c:v> KAPITÁLOVÉ PŘÍJMY</c:v>
                </c:pt>
                <c:pt idx="3">
                  <c:v> PŘIJATÉ TRANSFERY </c:v>
                </c:pt>
              </c:strCache>
            </c:strRef>
          </c:cat>
          <c:val>
            <c:numRef>
              <c:f>'graf-příjmy'!$C$77:$C$80</c:f>
              <c:numCache>
                <c:formatCode>#,##0</c:formatCode>
                <c:ptCount val="4"/>
                <c:pt idx="0">
                  <c:v>725520</c:v>
                </c:pt>
                <c:pt idx="1">
                  <c:v>91795</c:v>
                </c:pt>
                <c:pt idx="2">
                  <c:v>150000</c:v>
                </c:pt>
                <c:pt idx="3">
                  <c:v>79000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gradFill rotWithShape="1">
      <a:gsLst>
        <a:gs pos="0">
          <a:schemeClr val="accent1">
            <a:tint val="50000"/>
            <a:satMod val="300000"/>
          </a:schemeClr>
        </a:gs>
        <a:gs pos="35000">
          <a:schemeClr val="accent1">
            <a:tint val="37000"/>
            <a:satMod val="300000"/>
          </a:schemeClr>
        </a:gs>
        <a:gs pos="100000">
          <a:schemeClr val="accent1">
            <a:tint val="15000"/>
            <a:satMod val="350000"/>
          </a:schemeClr>
        </a:gs>
      </a:gsLst>
      <a:lin ang="16200000" scaled="1"/>
    </a:gradFill>
    <a:ln w="57150" cap="flat" cmpd="sng" algn="ctr">
      <a:solidFill>
        <a:schemeClr val="tx2"/>
      </a:solidFill>
      <a:prstDash val="solid"/>
    </a:ln>
    <a:effectLst>
      <a:glow rad="101600">
        <a:schemeClr val="accent1">
          <a:satMod val="175000"/>
          <a:alpha val="40000"/>
        </a:schemeClr>
      </a:glow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10"/>
  <c:chart>
    <c:autoTitleDeleted val="1"/>
    <c:view3D>
      <c:rotX val="30"/>
      <c:rotY val="350"/>
      <c:perspective val="0"/>
    </c:view3D>
    <c:plotArea>
      <c:layout>
        <c:manualLayout>
          <c:layoutTarget val="inner"/>
          <c:xMode val="edge"/>
          <c:yMode val="edge"/>
          <c:x val="0.17742982222505652"/>
          <c:y val="0.32399961472706101"/>
          <c:w val="0.72507223372984864"/>
          <c:h val="0.61389961389966941"/>
        </c:manualLayout>
      </c:layout>
      <c:pie3DChart>
        <c:varyColors val="1"/>
        <c:ser>
          <c:idx val="0"/>
          <c:order val="0"/>
          <c:tx>
            <c:strRef>
              <c:f>'graf-příjmy'!$B$77</c:f>
              <c:strCache>
                <c:ptCount val="1"/>
                <c:pt idx="0">
                  <c:v> DAŇOVÉ PŘÍJMY</c:v>
                </c:pt>
              </c:strCache>
            </c:strRef>
          </c:tx>
          <c:explosion val="18"/>
          <c:dPt>
            <c:idx val="0"/>
            <c:explosion val="20"/>
          </c:dPt>
          <c:dPt>
            <c:idx val="3"/>
            <c:spPr>
              <a:noFill/>
              <a:ln>
                <a:noFill/>
              </a:ln>
              <a:effectLst>
                <a:outerShdw blurRad="40000" dist="20000" dir="5400000" rotWithShape="0">
                  <a:srgbClr val="000000">
                    <a:alpha val="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-0.1587725688648137"/>
                  <c:y val="0.1285140504225974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bestFit"/>
              <c:showCatName val="1"/>
              <c:showPercent val="1"/>
              <c:separator>
</c:separator>
            </c:dLbl>
            <c:dLbl>
              <c:idx val="1"/>
              <c:layout>
                <c:manualLayout>
                  <c:x val="-0.17487562506330337"/>
                  <c:y val="-0.1139040188783741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bestFit"/>
              <c:showCatName val="1"/>
              <c:showPercent val="1"/>
              <c:separator>
</c:separator>
            </c:dLbl>
            <c:dLbl>
              <c:idx val="2"/>
              <c:layout>
                <c:manualLayout>
                  <c:x val="0.15555047072107556"/>
                  <c:y val="-0.2028794373676276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bestFit"/>
              <c:showCatName val="1"/>
              <c:showPercent val="1"/>
              <c:separator>
</c:separator>
            </c:dLbl>
            <c:dLbl>
              <c:idx val="3"/>
              <c:layout>
                <c:manualLayout>
                  <c:x val="2.1293928081385412E-2"/>
                  <c:y val="0.11198144410480435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
</a:t>
                    </a:r>
                    <a:endParaRPr lang="en-US"/>
                  </a:p>
                </c:rich>
              </c:tx>
              <c:dLblPos val="bestFit"/>
              <c:separator>
</c:separator>
            </c:dLbl>
            <c:dLbl>
              <c:idx val="4"/>
              <c:layout>
                <c:manualLayout>
                  <c:x val="-4.7327844703172785E-2"/>
                  <c:y val="2.4667254431033958E-2"/>
                </c:manualLayout>
              </c:layout>
              <c:dLblPos val="bestFit"/>
              <c:showCatName val="1"/>
              <c:showPercent val="1"/>
              <c:separator>
</c:separator>
            </c:dLbl>
            <c:dLbl>
              <c:idx val="5"/>
              <c:layout>
                <c:manualLayout>
                  <c:x val="-6.4895200065803904E-2"/>
                  <c:y val="-2.2155676486385653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O</a:t>
                    </a:r>
                    <a:r>
                      <a:rPr lang="en-US"/>
                      <a:t>statní odvody z vybraných činností a služeb
</a:t>
                    </a:r>
                    <a:r>
                      <a:rPr lang="cs-CZ"/>
                      <a:t>5 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eparator>
</c:separator>
            </c:dLbl>
            <c:dLbl>
              <c:idx val="6"/>
              <c:layout>
                <c:manualLayout>
                  <c:x val="-3.424710800038884E-2"/>
                  <c:y val="-0.15800058776437056"/>
                </c:manualLayout>
              </c:layout>
              <c:dLblPos val="bestFit"/>
              <c:showCatName val="1"/>
              <c:showPercent val="1"/>
              <c:separator>
</c:separator>
            </c:dLbl>
            <c:dLbl>
              <c:idx val="7"/>
              <c:layout>
                <c:manualLayout>
                  <c:x val="9.9152951855581831E-2"/>
                  <c:y val="-8.2762462850661245E-2"/>
                </c:manualLayout>
              </c:layout>
              <c:dLblPos val="bestFit"/>
              <c:showCatName val="1"/>
              <c:showPercent val="1"/>
              <c:separator>
</c:separator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CatName val="1"/>
            <c:showPercent val="1"/>
            <c:separator>
</c:separator>
            <c:showLeaderLines val="1"/>
          </c:dLbls>
          <c:cat>
            <c:strRef>
              <c:f>'graf-příjmy'!$B$68:$B$75</c:f>
              <c:strCache>
                <c:ptCount val="8"/>
                <c:pt idx="0">
                  <c:v>Daně z příjmů fyzických osob </c:v>
                </c:pt>
                <c:pt idx="1">
                  <c:v>Daně z příjmů právnických osob</c:v>
                </c:pt>
                <c:pt idx="2">
                  <c:v>Podíl z výnosu daně z přidané hodnoty</c:v>
                </c:pt>
                <c:pt idx="3">
                  <c:v>Poplatky a odvody v oblasti životního prostředí </c:v>
                </c:pt>
                <c:pt idx="4">
                  <c:v>Místní poplatky</c:v>
                </c:pt>
                <c:pt idx="5">
                  <c:v>Ostatní odvody z vybraných činností a služeb</c:v>
                </c:pt>
                <c:pt idx="6">
                  <c:v>Správní poplatky                                         </c:v>
                </c:pt>
                <c:pt idx="7">
                  <c:v>Daň z nemovitostí nacházejících se na území města</c:v>
                </c:pt>
              </c:strCache>
            </c:strRef>
          </c:cat>
          <c:val>
            <c:numRef>
              <c:f>'graf-příjmy'!$C$68:$C$75</c:f>
              <c:numCache>
                <c:formatCode>#,##0.000</c:formatCode>
                <c:ptCount val="8"/>
                <c:pt idx="0">
                  <c:v>159000</c:v>
                </c:pt>
                <c:pt idx="1">
                  <c:v>164000</c:v>
                </c:pt>
                <c:pt idx="2">
                  <c:v>243000</c:v>
                </c:pt>
                <c:pt idx="3" formatCode="#,##0">
                  <c:v>20</c:v>
                </c:pt>
                <c:pt idx="4" formatCode="#,##0">
                  <c:v>44000</c:v>
                </c:pt>
                <c:pt idx="5" formatCode="#,##0">
                  <c:v>33500</c:v>
                </c:pt>
                <c:pt idx="6" formatCode="#,##0">
                  <c:v>10000</c:v>
                </c:pt>
                <c:pt idx="7" formatCode="#,##0">
                  <c:v>72000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noFill/>
    <a:effectLst>
      <a:outerShdw blurRad="50800" dist="50800" dir="5400000" algn="ctr" rotWithShape="0">
        <a:srgbClr val="000000">
          <a:alpha val="34000"/>
        </a:srgbClr>
      </a:outerShdw>
    </a:effectLst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19050</xdr:rowOff>
    </xdr:from>
    <xdr:ext cx="5867400" cy="742950"/>
    <xdr:sp macro="" textlink="">
      <xdr:nvSpPr>
        <xdr:cNvPr id="2" name="Zaoblený obdélník 1"/>
        <xdr:cNvSpPr/>
      </xdr:nvSpPr>
      <xdr:spPr>
        <a:xfrm>
          <a:off x="9525" y="19050"/>
          <a:ext cx="5867400" cy="742950"/>
        </a:xfrm>
        <a:prstGeom prst="roundRect">
          <a:avLst/>
        </a:prstGeom>
        <a:gradFill flip="none" rotWithShape="1">
          <a:gsLst>
            <a:gs pos="0">
              <a:schemeClr val="accent1">
                <a:tint val="50000"/>
                <a:satMod val="300000"/>
              </a:schemeClr>
            </a:gs>
            <a:gs pos="35000">
              <a:schemeClr val="accent1">
                <a:tint val="37000"/>
                <a:satMod val="300000"/>
              </a:schemeClr>
            </a:gs>
            <a:gs pos="100000">
              <a:schemeClr val="accent1">
                <a:tint val="15000"/>
                <a:satMod val="350000"/>
              </a:schemeClr>
            </a:gs>
          </a:gsLst>
          <a:lin ang="16200000" scaled="1"/>
          <a:tileRect/>
        </a:gradFill>
        <a:ln w="57150">
          <a:solidFill>
            <a:schemeClr val="tx2"/>
          </a:solidFill>
        </a:ln>
        <a:effectLst>
          <a:glow rad="63500">
            <a:schemeClr val="accent1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ctr">
          <a:noAutofit/>
        </a:bodyPr>
        <a:lstStyle/>
        <a:p>
          <a:pPr algn="ctr"/>
          <a:r>
            <a:rPr lang="cs-CZ" sz="1600" b="1">
              <a:solidFill>
                <a:schemeClr val="tx2"/>
              </a:solidFill>
              <a:latin typeface="+mn-lt"/>
              <a:cs typeface="Times New Roman" pitchFamily="18" charset="0"/>
            </a:rPr>
            <a:t> </a:t>
          </a:r>
          <a:r>
            <a:rPr lang="cs-CZ" sz="1600" b="1">
              <a:solidFill>
                <a:schemeClr val="tx2"/>
              </a:solidFill>
              <a:latin typeface="+mj-lt"/>
              <a:cs typeface="Times New Roman" pitchFamily="18" charset="0"/>
            </a:rPr>
            <a:t>ROZPOČET STATUTÁRNÍHO</a:t>
          </a:r>
          <a:r>
            <a:rPr lang="cs-CZ" sz="1600" b="1" baseline="0">
              <a:solidFill>
                <a:schemeClr val="tx2"/>
              </a:solidFill>
              <a:latin typeface="+mj-lt"/>
              <a:cs typeface="Times New Roman" pitchFamily="18" charset="0"/>
            </a:rPr>
            <a:t> </a:t>
          </a:r>
          <a:r>
            <a:rPr lang="cs-CZ" sz="1600" b="1">
              <a:solidFill>
                <a:schemeClr val="tx2"/>
              </a:solidFill>
              <a:latin typeface="+mj-lt"/>
              <a:cs typeface="Times New Roman" pitchFamily="18" charset="0"/>
            </a:rPr>
            <a:t>MĚSTA KARLOVY VARY            NA ROK 2014</a:t>
          </a:r>
        </a:p>
      </xdr:txBody>
    </xdr:sp>
    <xdr:clientData/>
  </xdr:oneCellAnchor>
  <xdr:twoCellAnchor>
    <xdr:from>
      <xdr:col>0</xdr:col>
      <xdr:colOff>47625</xdr:colOff>
      <xdr:row>5</xdr:row>
      <xdr:rowOff>161925</xdr:rowOff>
    </xdr:from>
    <xdr:to>
      <xdr:col>4</xdr:col>
      <xdr:colOff>571500</xdr:colOff>
      <xdr:row>29</xdr:row>
      <xdr:rowOff>104775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781052</xdr:colOff>
      <xdr:row>9</xdr:row>
      <xdr:rowOff>95250</xdr:rowOff>
    </xdr:from>
    <xdr:to>
      <xdr:col>2</xdr:col>
      <xdr:colOff>2190750</xdr:colOff>
      <xdr:row>10</xdr:row>
      <xdr:rowOff>123825</xdr:rowOff>
    </xdr:to>
    <xdr:sp macro="" textlink="">
      <xdr:nvSpPr>
        <xdr:cNvPr id="4" name="TextovéPole 3"/>
        <xdr:cNvSpPr txBox="1"/>
      </xdr:nvSpPr>
      <xdr:spPr>
        <a:xfrm>
          <a:off x="1752602" y="1809750"/>
          <a:ext cx="1409698" cy="21907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cs-CZ" sz="1100" b="1"/>
            <a:t>KAPITÁLOVÉ </a:t>
          </a:r>
          <a:r>
            <a:rPr lang="cs-CZ" sz="11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VÝDAJE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4</xdr:col>
      <xdr:colOff>1524001</xdr:colOff>
      <xdr:row>1</xdr:row>
      <xdr:rowOff>161925</xdr:rowOff>
    </xdr:to>
    <xdr:sp macro="" textlink="">
      <xdr:nvSpPr>
        <xdr:cNvPr id="2" name="Zaoblený obdélník 1"/>
        <xdr:cNvSpPr/>
      </xdr:nvSpPr>
      <xdr:spPr>
        <a:xfrm>
          <a:off x="266701" y="0"/>
          <a:ext cx="2667000" cy="361950"/>
        </a:xfrm>
        <a:prstGeom prst="roundRect">
          <a:avLst/>
        </a:prstGeom>
        <a:solidFill>
          <a:srgbClr val="B1F1EF"/>
        </a:solidFill>
        <a:ln cap="rnd" cmpd="sng"/>
        <a:effectLst>
          <a:innerShdw blurRad="63500" dist="50800" dir="2700000">
            <a:prstClr val="black">
              <a:alpha val="50000"/>
            </a:prstClr>
          </a:innerShdw>
        </a:effectLst>
        <a:scene3d>
          <a:camera prst="perspectiveAbove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cs-CZ" sz="1400" b="1">
              <a:solidFill>
                <a:schemeClr val="tx2">
                  <a:lumMod val="50000"/>
                </a:schemeClr>
              </a:solidFill>
              <a:latin typeface="+mn-lt"/>
            </a:rPr>
            <a:t>BĚŽNÉ </a:t>
          </a:r>
          <a:r>
            <a:rPr lang="cs-CZ" sz="1400" b="1">
              <a:solidFill>
                <a:schemeClr val="tx2">
                  <a:lumMod val="50000"/>
                </a:schemeClr>
              </a:solidFill>
              <a:latin typeface="+mn-lt"/>
              <a:cs typeface="Times New Roman" pitchFamily="18" charset="0"/>
            </a:rPr>
            <a:t>VÝDAJE</a:t>
          </a:r>
        </a:p>
      </xdr:txBody>
    </xdr:sp>
    <xdr:clientData/>
  </xdr:twoCellAnchor>
  <xdr:twoCellAnchor>
    <xdr:from>
      <xdr:col>4</xdr:col>
      <xdr:colOff>0</xdr:colOff>
      <xdr:row>2</xdr:row>
      <xdr:rowOff>190500</xdr:rowOff>
    </xdr:from>
    <xdr:to>
      <xdr:col>4</xdr:col>
      <xdr:colOff>2438400</xdr:colOff>
      <xdr:row>4</xdr:row>
      <xdr:rowOff>142875</xdr:rowOff>
    </xdr:to>
    <xdr:sp macro="" textlink="">
      <xdr:nvSpPr>
        <xdr:cNvPr id="3" name="Zaoblený obdélník 2"/>
        <xdr:cNvSpPr/>
      </xdr:nvSpPr>
      <xdr:spPr>
        <a:xfrm>
          <a:off x="1409700" y="590550"/>
          <a:ext cx="2438400" cy="352425"/>
        </a:xfrm>
        <a:prstGeom prst="roundRect">
          <a:avLst/>
        </a:prstGeom>
        <a:solidFill>
          <a:srgbClr val="FFC000"/>
        </a:solidFill>
        <a:ln>
          <a:solidFill>
            <a:srgbClr val="00B0F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44450" h="69850" prst="slope"/>
          <a:bevelB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cs-CZ" sz="1200" b="1">
              <a:solidFill>
                <a:schemeClr val="tx2">
                  <a:lumMod val="50000"/>
                </a:schemeClr>
              </a:solidFill>
              <a:latin typeface="+mn-lt"/>
              <a:cs typeface="Times New Roman" pitchFamily="18" charset="0"/>
            </a:rPr>
            <a:t>13 - Odbor</a:t>
          </a:r>
          <a:r>
            <a:rPr lang="cs-CZ" sz="1200" b="1" baseline="0">
              <a:solidFill>
                <a:schemeClr val="tx2">
                  <a:lumMod val="50000"/>
                </a:schemeClr>
              </a:solidFill>
              <a:latin typeface="+mn-lt"/>
              <a:cs typeface="Times New Roman" pitchFamily="18" charset="0"/>
            </a:rPr>
            <a:t> právní</a:t>
          </a:r>
          <a:endParaRPr lang="cs-CZ" sz="1200" b="1">
            <a:solidFill>
              <a:schemeClr val="tx2">
                <a:lumMod val="50000"/>
              </a:schemeClr>
            </a:solidFill>
            <a:latin typeface="+mn-lt"/>
            <a:cs typeface="Times New Roman" pitchFamily="18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4</xdr:col>
      <xdr:colOff>1524001</xdr:colOff>
      <xdr:row>1</xdr:row>
      <xdr:rowOff>161925</xdr:rowOff>
    </xdr:to>
    <xdr:sp macro="" textlink="">
      <xdr:nvSpPr>
        <xdr:cNvPr id="2" name="Zaoblený obdélník 1"/>
        <xdr:cNvSpPr/>
      </xdr:nvSpPr>
      <xdr:spPr>
        <a:xfrm>
          <a:off x="266701" y="0"/>
          <a:ext cx="2667000" cy="352425"/>
        </a:xfrm>
        <a:prstGeom prst="roundRect">
          <a:avLst/>
        </a:prstGeom>
        <a:solidFill>
          <a:srgbClr val="B1F1EF"/>
        </a:solidFill>
        <a:ln cap="rnd" cmpd="sng"/>
        <a:effectLst>
          <a:innerShdw blurRad="63500" dist="50800" dir="2700000">
            <a:prstClr val="black">
              <a:alpha val="50000"/>
            </a:prstClr>
          </a:innerShdw>
        </a:effectLst>
        <a:scene3d>
          <a:camera prst="perspectiveAbove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cs-CZ" sz="1400" b="1">
              <a:solidFill>
                <a:schemeClr val="tx2">
                  <a:lumMod val="50000"/>
                </a:schemeClr>
              </a:solidFill>
              <a:latin typeface="+mn-lt"/>
            </a:rPr>
            <a:t>BĚŽNÉ </a:t>
          </a:r>
          <a:r>
            <a:rPr lang="cs-CZ" sz="1400" b="1">
              <a:solidFill>
                <a:schemeClr val="tx2">
                  <a:lumMod val="50000"/>
                </a:schemeClr>
              </a:solidFill>
              <a:latin typeface="+mn-lt"/>
              <a:cs typeface="Times New Roman" pitchFamily="18" charset="0"/>
            </a:rPr>
            <a:t>VÝDAJE</a:t>
          </a:r>
        </a:p>
      </xdr:txBody>
    </xdr:sp>
    <xdr:clientData/>
  </xdr:twoCellAnchor>
  <xdr:twoCellAnchor>
    <xdr:from>
      <xdr:col>4</xdr:col>
      <xdr:colOff>0</xdr:colOff>
      <xdr:row>2</xdr:row>
      <xdr:rowOff>190500</xdr:rowOff>
    </xdr:from>
    <xdr:to>
      <xdr:col>4</xdr:col>
      <xdr:colOff>2438400</xdr:colOff>
      <xdr:row>4</xdr:row>
      <xdr:rowOff>142875</xdr:rowOff>
    </xdr:to>
    <xdr:sp macro="" textlink="">
      <xdr:nvSpPr>
        <xdr:cNvPr id="3" name="Zaoblený obdélník 2"/>
        <xdr:cNvSpPr/>
      </xdr:nvSpPr>
      <xdr:spPr>
        <a:xfrm>
          <a:off x="1409700" y="571500"/>
          <a:ext cx="2438400" cy="352425"/>
        </a:xfrm>
        <a:prstGeom prst="roundRect">
          <a:avLst/>
        </a:prstGeom>
        <a:solidFill>
          <a:srgbClr val="FFC000"/>
        </a:solidFill>
        <a:ln>
          <a:solidFill>
            <a:srgbClr val="00B0F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44450" h="69850" prst="slope"/>
          <a:bevelB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cs-CZ" sz="1200" b="1">
              <a:solidFill>
                <a:schemeClr val="tx2">
                  <a:lumMod val="50000"/>
                </a:schemeClr>
              </a:solidFill>
              <a:latin typeface="+mn-lt"/>
              <a:cs typeface="Times New Roman" pitchFamily="18" charset="0"/>
            </a:rPr>
            <a:t>17 - Obecní</a:t>
          </a:r>
          <a:r>
            <a:rPr lang="cs-CZ" sz="1200" b="1" baseline="0">
              <a:solidFill>
                <a:schemeClr val="tx2">
                  <a:lumMod val="50000"/>
                </a:schemeClr>
              </a:solidFill>
              <a:latin typeface="+mn-lt"/>
              <a:cs typeface="Times New Roman" pitchFamily="18" charset="0"/>
            </a:rPr>
            <a:t> živnostenský úřad</a:t>
          </a:r>
          <a:endParaRPr lang="cs-CZ" sz="1200" b="1">
            <a:solidFill>
              <a:schemeClr val="tx2">
                <a:lumMod val="50000"/>
              </a:schemeClr>
            </a:solidFill>
            <a:latin typeface="+mn-lt"/>
            <a:cs typeface="Times New Roman" pitchFamily="18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4</xdr:col>
      <xdr:colOff>1524001</xdr:colOff>
      <xdr:row>1</xdr:row>
      <xdr:rowOff>161925</xdr:rowOff>
    </xdr:to>
    <xdr:sp macro="" textlink="">
      <xdr:nvSpPr>
        <xdr:cNvPr id="2" name="Zaoblený obdélník 1"/>
        <xdr:cNvSpPr/>
      </xdr:nvSpPr>
      <xdr:spPr>
        <a:xfrm>
          <a:off x="266701" y="0"/>
          <a:ext cx="2667000" cy="361950"/>
        </a:xfrm>
        <a:prstGeom prst="roundRect">
          <a:avLst/>
        </a:prstGeom>
        <a:solidFill>
          <a:srgbClr val="B1F1EF"/>
        </a:solidFill>
        <a:ln cap="rnd" cmpd="sng"/>
        <a:effectLst>
          <a:innerShdw blurRad="63500" dist="50800" dir="2700000">
            <a:prstClr val="black">
              <a:alpha val="50000"/>
            </a:prstClr>
          </a:innerShdw>
        </a:effectLst>
        <a:scene3d>
          <a:camera prst="perspectiveAbove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cs-CZ" sz="1400" b="1">
              <a:solidFill>
                <a:schemeClr val="tx2">
                  <a:lumMod val="50000"/>
                </a:schemeClr>
              </a:solidFill>
              <a:latin typeface="+mn-lt"/>
              <a:cs typeface="Times New Roman" pitchFamily="18" charset="0"/>
            </a:rPr>
            <a:t>BĚŽNÉ VÝDAJE</a:t>
          </a:r>
        </a:p>
      </xdr:txBody>
    </xdr:sp>
    <xdr:clientData/>
  </xdr:twoCellAnchor>
  <xdr:twoCellAnchor>
    <xdr:from>
      <xdr:col>4</xdr:col>
      <xdr:colOff>0</xdr:colOff>
      <xdr:row>2</xdr:row>
      <xdr:rowOff>190500</xdr:rowOff>
    </xdr:from>
    <xdr:to>
      <xdr:col>4</xdr:col>
      <xdr:colOff>2438400</xdr:colOff>
      <xdr:row>4</xdr:row>
      <xdr:rowOff>142875</xdr:rowOff>
    </xdr:to>
    <xdr:sp macro="" textlink="">
      <xdr:nvSpPr>
        <xdr:cNvPr id="3" name="Zaoblený obdélník 2"/>
        <xdr:cNvSpPr/>
      </xdr:nvSpPr>
      <xdr:spPr>
        <a:xfrm>
          <a:off x="1409700" y="590550"/>
          <a:ext cx="2438400" cy="352425"/>
        </a:xfrm>
        <a:prstGeom prst="roundRect">
          <a:avLst/>
        </a:prstGeom>
        <a:solidFill>
          <a:srgbClr val="FFC000"/>
        </a:solidFill>
        <a:ln>
          <a:solidFill>
            <a:srgbClr val="00B0F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44450" h="69850" prst="slope"/>
          <a:bevelB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cs-CZ" sz="1200" b="1">
              <a:solidFill>
                <a:schemeClr val="tx2">
                  <a:lumMod val="50000"/>
                </a:schemeClr>
              </a:solidFill>
              <a:latin typeface="+mn-lt"/>
              <a:cs typeface="Times New Roman" pitchFamily="18" charset="0"/>
            </a:rPr>
            <a:t>19</a:t>
          </a:r>
          <a:r>
            <a:rPr lang="cs-CZ" sz="1200" b="1" baseline="0">
              <a:solidFill>
                <a:schemeClr val="tx2">
                  <a:lumMod val="50000"/>
                </a:schemeClr>
              </a:solidFill>
              <a:latin typeface="+mn-lt"/>
              <a:cs typeface="Times New Roman" pitchFamily="18" charset="0"/>
            </a:rPr>
            <a:t> - </a:t>
          </a:r>
          <a:r>
            <a:rPr lang="cs-CZ" sz="1200" b="1">
              <a:solidFill>
                <a:schemeClr val="tx2">
                  <a:lumMod val="50000"/>
                </a:schemeClr>
              </a:solidFill>
              <a:latin typeface="+mn-lt"/>
              <a:cs typeface="Times New Roman" pitchFamily="18" charset="0"/>
            </a:rPr>
            <a:t>Odbor</a:t>
          </a:r>
          <a:r>
            <a:rPr lang="cs-CZ" sz="1200" b="1" baseline="0">
              <a:solidFill>
                <a:schemeClr val="tx2">
                  <a:lumMod val="50000"/>
                </a:schemeClr>
              </a:solidFill>
              <a:latin typeface="+mn-lt"/>
              <a:cs typeface="Times New Roman" pitchFamily="18" charset="0"/>
            </a:rPr>
            <a:t> vnitřních věcí</a:t>
          </a:r>
          <a:endParaRPr lang="cs-CZ" sz="1200" b="1">
            <a:solidFill>
              <a:schemeClr val="tx2">
                <a:lumMod val="50000"/>
              </a:schemeClr>
            </a:solidFill>
            <a:latin typeface="+mn-lt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257175</xdr:colOff>
      <xdr:row>59</xdr:row>
      <xdr:rowOff>190500</xdr:rowOff>
    </xdr:from>
    <xdr:to>
      <xdr:col>4</xdr:col>
      <xdr:colOff>1514475</xdr:colOff>
      <xdr:row>61</xdr:row>
      <xdr:rowOff>152400</xdr:rowOff>
    </xdr:to>
    <xdr:sp macro="" textlink="">
      <xdr:nvSpPr>
        <xdr:cNvPr id="4" name="Zaoblený obdélník 3"/>
        <xdr:cNvSpPr/>
      </xdr:nvSpPr>
      <xdr:spPr>
        <a:xfrm>
          <a:off x="257175" y="11077575"/>
          <a:ext cx="2667000" cy="0"/>
        </a:xfrm>
        <a:prstGeom prst="roundRect">
          <a:avLst/>
        </a:prstGeom>
        <a:solidFill>
          <a:srgbClr val="B1F1EF"/>
        </a:solidFill>
        <a:ln cap="rnd" cmpd="sng"/>
        <a:effectLst>
          <a:innerShdw blurRad="63500" dist="50800" dir="2700000">
            <a:prstClr val="black">
              <a:alpha val="50000"/>
            </a:prstClr>
          </a:innerShdw>
        </a:effectLst>
        <a:scene3d>
          <a:camera prst="perspectiveAbove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cs-CZ" sz="1400" b="1">
              <a:solidFill>
                <a:schemeClr val="tx2">
                  <a:lumMod val="50000"/>
                </a:schemeClr>
              </a:solidFill>
              <a:latin typeface="+mn-lt"/>
              <a:cs typeface="Times New Roman" pitchFamily="18" charset="0"/>
            </a:rPr>
            <a:t>KAPITÁLOVÉ VÝDAJE</a:t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2438400</xdr:colOff>
      <xdr:row>64</xdr:row>
      <xdr:rowOff>152400</xdr:rowOff>
    </xdr:to>
    <xdr:sp macro="" textlink="">
      <xdr:nvSpPr>
        <xdr:cNvPr id="5" name="Zaoblený obdélník 4"/>
        <xdr:cNvSpPr/>
      </xdr:nvSpPr>
      <xdr:spPr>
        <a:xfrm>
          <a:off x="1409700" y="11077575"/>
          <a:ext cx="2438400" cy="0"/>
        </a:xfrm>
        <a:prstGeom prst="roundRect">
          <a:avLst/>
        </a:prstGeom>
        <a:solidFill>
          <a:srgbClr val="FFC000"/>
        </a:solidFill>
        <a:ln>
          <a:solidFill>
            <a:srgbClr val="00B0F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44450" h="69850" prst="slope"/>
          <a:bevelB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cs-CZ" sz="1200" b="1">
              <a:solidFill>
                <a:schemeClr val="tx2">
                  <a:lumMod val="50000"/>
                </a:schemeClr>
              </a:solidFill>
              <a:latin typeface="+mn-lt"/>
              <a:cs typeface="Times New Roman" pitchFamily="18" charset="0"/>
            </a:rPr>
            <a:t>19</a:t>
          </a:r>
          <a:r>
            <a:rPr lang="cs-CZ" sz="1200" b="1" baseline="0">
              <a:solidFill>
                <a:schemeClr val="tx2">
                  <a:lumMod val="50000"/>
                </a:schemeClr>
              </a:solidFill>
              <a:latin typeface="+mn-lt"/>
              <a:cs typeface="Times New Roman" pitchFamily="18" charset="0"/>
            </a:rPr>
            <a:t> - </a:t>
          </a:r>
          <a:r>
            <a:rPr lang="cs-CZ" sz="1200" b="1">
              <a:solidFill>
                <a:schemeClr val="tx2">
                  <a:lumMod val="50000"/>
                </a:schemeClr>
              </a:solidFill>
              <a:latin typeface="+mn-lt"/>
              <a:cs typeface="Times New Roman" pitchFamily="18" charset="0"/>
            </a:rPr>
            <a:t>Odbor</a:t>
          </a:r>
          <a:r>
            <a:rPr lang="cs-CZ" sz="1200" b="1" baseline="0">
              <a:solidFill>
                <a:schemeClr val="tx2">
                  <a:lumMod val="50000"/>
                </a:schemeClr>
              </a:solidFill>
              <a:latin typeface="+mn-lt"/>
              <a:cs typeface="Times New Roman" pitchFamily="18" charset="0"/>
            </a:rPr>
            <a:t> vnitřních věcí</a:t>
          </a:r>
          <a:endParaRPr lang="cs-CZ" sz="1200" b="1">
            <a:solidFill>
              <a:schemeClr val="tx2">
                <a:lumMod val="50000"/>
              </a:schemeClr>
            </a:solidFill>
            <a:latin typeface="+mn-lt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257175</xdr:colOff>
      <xdr:row>75</xdr:row>
      <xdr:rowOff>0</xdr:rowOff>
    </xdr:from>
    <xdr:to>
      <xdr:col>4</xdr:col>
      <xdr:colOff>1514475</xdr:colOff>
      <xdr:row>76</xdr:row>
      <xdr:rowOff>152400</xdr:rowOff>
    </xdr:to>
    <xdr:sp macro="" textlink="">
      <xdr:nvSpPr>
        <xdr:cNvPr id="6" name="Zaoblený obdélník 5"/>
        <xdr:cNvSpPr/>
      </xdr:nvSpPr>
      <xdr:spPr>
        <a:xfrm>
          <a:off x="257175" y="11277600"/>
          <a:ext cx="2667000" cy="342900"/>
        </a:xfrm>
        <a:prstGeom prst="roundRect">
          <a:avLst/>
        </a:prstGeom>
        <a:solidFill>
          <a:srgbClr val="B1F1EF"/>
        </a:solidFill>
        <a:ln cap="rnd" cmpd="sng"/>
        <a:effectLst>
          <a:innerShdw blurRad="63500" dist="50800" dir="2700000">
            <a:prstClr val="black">
              <a:alpha val="50000"/>
            </a:prstClr>
          </a:innerShdw>
        </a:effectLst>
        <a:scene3d>
          <a:camera prst="perspectiveAbove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cs-CZ" sz="1400" b="1">
              <a:solidFill>
                <a:schemeClr val="tx2">
                  <a:lumMod val="50000"/>
                </a:schemeClr>
              </a:solidFill>
              <a:latin typeface="+mn-lt"/>
              <a:cs typeface="Times New Roman" pitchFamily="18" charset="0"/>
            </a:rPr>
            <a:t>KAPITÁLOVÉ VÝDAJE</a:t>
          </a:r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2438400</xdr:colOff>
      <xdr:row>79</xdr:row>
      <xdr:rowOff>152400</xdr:rowOff>
    </xdr:to>
    <xdr:sp macro="" textlink="">
      <xdr:nvSpPr>
        <xdr:cNvPr id="7" name="Zaoblený obdélník 6"/>
        <xdr:cNvSpPr/>
      </xdr:nvSpPr>
      <xdr:spPr>
        <a:xfrm>
          <a:off x="1409700" y="11858625"/>
          <a:ext cx="2438400" cy="352425"/>
        </a:xfrm>
        <a:prstGeom prst="roundRect">
          <a:avLst/>
        </a:prstGeom>
        <a:solidFill>
          <a:srgbClr val="FFC000"/>
        </a:solidFill>
        <a:ln>
          <a:solidFill>
            <a:srgbClr val="00B0F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44450" h="69850" prst="slope"/>
          <a:bevelB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cs-CZ" sz="1200" b="1">
              <a:solidFill>
                <a:schemeClr val="tx2">
                  <a:lumMod val="50000"/>
                </a:schemeClr>
              </a:solidFill>
              <a:latin typeface="+mn-lt"/>
              <a:cs typeface="Times New Roman" pitchFamily="18" charset="0"/>
            </a:rPr>
            <a:t>19</a:t>
          </a:r>
          <a:r>
            <a:rPr lang="cs-CZ" sz="1200" b="1" baseline="0">
              <a:solidFill>
                <a:schemeClr val="tx2">
                  <a:lumMod val="50000"/>
                </a:schemeClr>
              </a:solidFill>
              <a:latin typeface="+mn-lt"/>
              <a:cs typeface="Times New Roman" pitchFamily="18" charset="0"/>
            </a:rPr>
            <a:t> - </a:t>
          </a:r>
          <a:r>
            <a:rPr lang="cs-CZ" sz="1200" b="1">
              <a:solidFill>
                <a:schemeClr val="tx2">
                  <a:lumMod val="50000"/>
                </a:schemeClr>
              </a:solidFill>
              <a:latin typeface="+mn-lt"/>
              <a:cs typeface="Times New Roman" pitchFamily="18" charset="0"/>
            </a:rPr>
            <a:t>Odbor</a:t>
          </a:r>
          <a:r>
            <a:rPr lang="cs-CZ" sz="1200" b="1" baseline="0">
              <a:solidFill>
                <a:schemeClr val="tx2">
                  <a:lumMod val="50000"/>
                </a:schemeClr>
              </a:solidFill>
              <a:latin typeface="+mn-lt"/>
              <a:cs typeface="Times New Roman" pitchFamily="18" charset="0"/>
            </a:rPr>
            <a:t> vnitřních věcí</a:t>
          </a:r>
          <a:endParaRPr lang="cs-CZ" sz="1200" b="1">
            <a:solidFill>
              <a:schemeClr val="tx2">
                <a:lumMod val="50000"/>
              </a:schemeClr>
            </a:solidFill>
            <a:latin typeface="+mn-lt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0</xdr:colOff>
      <xdr:row>77</xdr:row>
      <xdr:rowOff>190500</xdr:rowOff>
    </xdr:from>
    <xdr:to>
      <xdr:col>4</xdr:col>
      <xdr:colOff>2438400</xdr:colOff>
      <xdr:row>79</xdr:row>
      <xdr:rowOff>142875</xdr:rowOff>
    </xdr:to>
    <xdr:sp macro="" textlink="">
      <xdr:nvSpPr>
        <xdr:cNvPr id="8" name="Zaoblený obdélník 7"/>
        <xdr:cNvSpPr/>
      </xdr:nvSpPr>
      <xdr:spPr>
        <a:xfrm>
          <a:off x="1409700" y="11849100"/>
          <a:ext cx="2438400" cy="352425"/>
        </a:xfrm>
        <a:prstGeom prst="roundRect">
          <a:avLst/>
        </a:prstGeom>
        <a:solidFill>
          <a:srgbClr val="FFC000"/>
        </a:solidFill>
        <a:ln>
          <a:solidFill>
            <a:srgbClr val="00B0F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44450" h="69850" prst="slope"/>
          <a:bevelB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cs-CZ" sz="1200" b="1">
              <a:solidFill>
                <a:schemeClr val="tx2">
                  <a:lumMod val="50000"/>
                </a:schemeClr>
              </a:solidFill>
              <a:latin typeface="+mn-lt"/>
              <a:cs typeface="Times New Roman" pitchFamily="18" charset="0"/>
            </a:rPr>
            <a:t>19</a:t>
          </a:r>
          <a:r>
            <a:rPr lang="cs-CZ" sz="1200" b="1" baseline="0">
              <a:solidFill>
                <a:schemeClr val="tx2">
                  <a:lumMod val="50000"/>
                </a:schemeClr>
              </a:solidFill>
              <a:latin typeface="+mn-lt"/>
              <a:cs typeface="Times New Roman" pitchFamily="18" charset="0"/>
            </a:rPr>
            <a:t> - </a:t>
          </a:r>
          <a:r>
            <a:rPr lang="cs-CZ" sz="1200" b="1">
              <a:solidFill>
                <a:schemeClr val="tx2">
                  <a:lumMod val="50000"/>
                </a:schemeClr>
              </a:solidFill>
              <a:latin typeface="+mn-lt"/>
              <a:cs typeface="Times New Roman" pitchFamily="18" charset="0"/>
            </a:rPr>
            <a:t>Odbor</a:t>
          </a:r>
          <a:r>
            <a:rPr lang="cs-CZ" sz="1200" b="1" baseline="0">
              <a:solidFill>
                <a:schemeClr val="tx2">
                  <a:lumMod val="50000"/>
                </a:schemeClr>
              </a:solidFill>
              <a:latin typeface="+mn-lt"/>
              <a:cs typeface="Times New Roman" pitchFamily="18" charset="0"/>
            </a:rPr>
            <a:t> vnitřních věcí</a:t>
          </a:r>
          <a:endParaRPr lang="cs-CZ" sz="1200" b="1">
            <a:solidFill>
              <a:schemeClr val="tx2">
                <a:lumMod val="50000"/>
              </a:schemeClr>
            </a:solidFill>
            <a:latin typeface="+mn-lt"/>
            <a:cs typeface="Times New Roman" pitchFamily="18" charset="0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4</xdr:col>
      <xdr:colOff>1524001</xdr:colOff>
      <xdr:row>1</xdr:row>
      <xdr:rowOff>161925</xdr:rowOff>
    </xdr:to>
    <xdr:sp macro="" textlink="">
      <xdr:nvSpPr>
        <xdr:cNvPr id="2" name="Zaoblený obdélník 1"/>
        <xdr:cNvSpPr/>
      </xdr:nvSpPr>
      <xdr:spPr>
        <a:xfrm>
          <a:off x="266701" y="0"/>
          <a:ext cx="2667000" cy="342900"/>
        </a:xfrm>
        <a:prstGeom prst="roundRect">
          <a:avLst/>
        </a:prstGeom>
        <a:solidFill>
          <a:srgbClr val="B1F1EF"/>
        </a:solidFill>
        <a:ln cap="rnd" cmpd="sng"/>
        <a:effectLst>
          <a:innerShdw blurRad="63500" dist="50800" dir="2700000">
            <a:prstClr val="black">
              <a:alpha val="50000"/>
            </a:prstClr>
          </a:innerShdw>
        </a:effectLst>
        <a:scene3d>
          <a:camera prst="perspectiveAbove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cs-CZ" sz="1400" b="1">
              <a:solidFill>
                <a:schemeClr val="tx2">
                  <a:lumMod val="50000"/>
                </a:schemeClr>
              </a:solidFill>
              <a:latin typeface="+mn-lt"/>
              <a:cs typeface="Times New Roman" pitchFamily="18" charset="0"/>
            </a:rPr>
            <a:t>BĚŽNÉ VÝDAJE</a:t>
          </a:r>
        </a:p>
      </xdr:txBody>
    </xdr:sp>
    <xdr:clientData/>
  </xdr:twoCellAnchor>
  <xdr:twoCellAnchor>
    <xdr:from>
      <xdr:col>4</xdr:col>
      <xdr:colOff>0</xdr:colOff>
      <xdr:row>2</xdr:row>
      <xdr:rowOff>190500</xdr:rowOff>
    </xdr:from>
    <xdr:to>
      <xdr:col>4</xdr:col>
      <xdr:colOff>2438400</xdr:colOff>
      <xdr:row>4</xdr:row>
      <xdr:rowOff>142875</xdr:rowOff>
    </xdr:to>
    <xdr:sp macro="" textlink="">
      <xdr:nvSpPr>
        <xdr:cNvPr id="3" name="Zaoblený obdélník 2"/>
        <xdr:cNvSpPr/>
      </xdr:nvSpPr>
      <xdr:spPr>
        <a:xfrm>
          <a:off x="1409700" y="514350"/>
          <a:ext cx="2438400" cy="323850"/>
        </a:xfrm>
        <a:prstGeom prst="roundRect">
          <a:avLst/>
        </a:prstGeom>
        <a:solidFill>
          <a:srgbClr val="FFC000"/>
        </a:solidFill>
        <a:ln>
          <a:solidFill>
            <a:srgbClr val="00B0F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44450" h="69850" prst="slope"/>
          <a:bevelB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cs-CZ" sz="1200" b="1">
              <a:solidFill>
                <a:schemeClr val="tx2">
                  <a:lumMod val="50000"/>
                </a:schemeClr>
              </a:solidFill>
              <a:latin typeface="+mn-lt"/>
              <a:cs typeface="Times New Roman" pitchFamily="18" charset="0"/>
            </a:rPr>
            <a:t>20 - Městská</a:t>
          </a:r>
          <a:r>
            <a:rPr lang="cs-CZ" sz="1200" b="1" baseline="0">
              <a:solidFill>
                <a:schemeClr val="tx2">
                  <a:lumMod val="50000"/>
                </a:schemeClr>
              </a:solidFill>
              <a:latin typeface="+mn-lt"/>
              <a:cs typeface="Times New Roman" pitchFamily="18" charset="0"/>
            </a:rPr>
            <a:t> policie</a:t>
          </a:r>
          <a:endParaRPr lang="cs-CZ" sz="1200" b="1">
            <a:solidFill>
              <a:schemeClr val="tx2">
                <a:lumMod val="50000"/>
              </a:schemeClr>
            </a:solidFill>
            <a:latin typeface="+mn-lt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2438400</xdr:colOff>
      <xdr:row>67</xdr:row>
      <xdr:rowOff>114300</xdr:rowOff>
    </xdr:to>
    <xdr:sp macro="" textlink="">
      <xdr:nvSpPr>
        <xdr:cNvPr id="4" name="Zaoblený obdélník 3"/>
        <xdr:cNvSpPr/>
      </xdr:nvSpPr>
      <xdr:spPr>
        <a:xfrm>
          <a:off x="1409700" y="10306050"/>
          <a:ext cx="2438400" cy="0"/>
        </a:xfrm>
        <a:prstGeom prst="roundRect">
          <a:avLst/>
        </a:prstGeom>
        <a:solidFill>
          <a:srgbClr val="FFC000"/>
        </a:solidFill>
        <a:ln>
          <a:solidFill>
            <a:srgbClr val="00B0F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44450" h="69850" prst="slope"/>
          <a:bevelB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cs-CZ" sz="1200" b="1">
              <a:solidFill>
                <a:schemeClr val="tx2">
                  <a:lumMod val="50000"/>
                </a:schemeClr>
              </a:solidFill>
              <a:latin typeface="+mn-lt"/>
              <a:cs typeface="Times New Roman" pitchFamily="18" charset="0"/>
            </a:rPr>
            <a:t>20 - Městská</a:t>
          </a:r>
          <a:r>
            <a:rPr lang="cs-CZ" sz="1200" b="1" baseline="0">
              <a:solidFill>
                <a:schemeClr val="tx2">
                  <a:lumMod val="50000"/>
                </a:schemeClr>
              </a:solidFill>
              <a:latin typeface="+mn-lt"/>
              <a:cs typeface="Times New Roman" pitchFamily="18" charset="0"/>
            </a:rPr>
            <a:t> policie</a:t>
          </a:r>
          <a:endParaRPr lang="cs-CZ" sz="1200" b="1">
            <a:solidFill>
              <a:schemeClr val="tx2">
                <a:lumMod val="50000"/>
              </a:schemeClr>
            </a:solidFill>
            <a:latin typeface="+mn-lt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0</xdr:colOff>
      <xdr:row>63</xdr:row>
      <xdr:rowOff>0</xdr:rowOff>
    </xdr:from>
    <xdr:to>
      <xdr:col>4</xdr:col>
      <xdr:colOff>1524000</xdr:colOff>
      <xdr:row>65</xdr:row>
      <xdr:rowOff>0</xdr:rowOff>
    </xdr:to>
    <xdr:sp macro="" textlink="">
      <xdr:nvSpPr>
        <xdr:cNvPr id="5" name="Zaoblený obdélník 4"/>
        <xdr:cNvSpPr/>
      </xdr:nvSpPr>
      <xdr:spPr>
        <a:xfrm>
          <a:off x="266700" y="10306050"/>
          <a:ext cx="2667000" cy="0"/>
        </a:xfrm>
        <a:prstGeom prst="roundRect">
          <a:avLst/>
        </a:prstGeom>
        <a:solidFill>
          <a:srgbClr val="B1F1EF"/>
        </a:solidFill>
        <a:ln cap="rnd" cmpd="sng"/>
        <a:effectLst>
          <a:innerShdw blurRad="63500" dist="50800" dir="2700000">
            <a:prstClr val="black">
              <a:alpha val="50000"/>
            </a:prstClr>
          </a:innerShdw>
        </a:effectLst>
        <a:scene3d>
          <a:camera prst="perspectiveAbove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cs-CZ" sz="1400" b="1">
              <a:solidFill>
                <a:schemeClr val="tx2">
                  <a:lumMod val="50000"/>
                </a:schemeClr>
              </a:solidFill>
              <a:latin typeface="+mn-lt"/>
              <a:cs typeface="Times New Roman" pitchFamily="18" charset="0"/>
            </a:rPr>
            <a:t>KAPITÁLOVÉ VÝDAJE</a:t>
          </a:r>
        </a:p>
      </xdr:txBody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2438400</xdr:colOff>
      <xdr:row>81</xdr:row>
      <xdr:rowOff>114300</xdr:rowOff>
    </xdr:to>
    <xdr:sp macro="" textlink="">
      <xdr:nvSpPr>
        <xdr:cNvPr id="6" name="Zaoblený obdélník 5"/>
        <xdr:cNvSpPr/>
      </xdr:nvSpPr>
      <xdr:spPr>
        <a:xfrm>
          <a:off x="1409700" y="10858500"/>
          <a:ext cx="2438400" cy="323850"/>
        </a:xfrm>
        <a:prstGeom prst="roundRect">
          <a:avLst/>
        </a:prstGeom>
        <a:solidFill>
          <a:srgbClr val="FFC000"/>
        </a:solidFill>
        <a:ln>
          <a:solidFill>
            <a:srgbClr val="00B0F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44450" h="69850" prst="slope"/>
          <a:bevelB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cs-CZ" sz="1200" b="1">
              <a:solidFill>
                <a:schemeClr val="tx2">
                  <a:lumMod val="50000"/>
                </a:schemeClr>
              </a:solidFill>
              <a:latin typeface="+mn-lt"/>
              <a:cs typeface="Times New Roman" pitchFamily="18" charset="0"/>
            </a:rPr>
            <a:t>20 - Městská</a:t>
          </a:r>
          <a:r>
            <a:rPr lang="cs-CZ" sz="1200" b="1" baseline="0">
              <a:solidFill>
                <a:schemeClr val="tx2">
                  <a:lumMod val="50000"/>
                </a:schemeClr>
              </a:solidFill>
              <a:latin typeface="+mn-lt"/>
              <a:cs typeface="Times New Roman" pitchFamily="18" charset="0"/>
            </a:rPr>
            <a:t> policie</a:t>
          </a:r>
          <a:endParaRPr lang="cs-CZ" sz="1200" b="1">
            <a:solidFill>
              <a:schemeClr val="tx2">
                <a:lumMod val="50000"/>
              </a:schemeClr>
            </a:solidFill>
            <a:latin typeface="+mn-lt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4</xdr:col>
      <xdr:colOff>1524000</xdr:colOff>
      <xdr:row>79</xdr:row>
      <xdr:rowOff>0</xdr:rowOff>
    </xdr:to>
    <xdr:sp macro="" textlink="">
      <xdr:nvSpPr>
        <xdr:cNvPr id="7" name="Zaoblený obdélník 6"/>
        <xdr:cNvSpPr/>
      </xdr:nvSpPr>
      <xdr:spPr>
        <a:xfrm>
          <a:off x="266700" y="10306050"/>
          <a:ext cx="2667000" cy="381000"/>
        </a:xfrm>
        <a:prstGeom prst="roundRect">
          <a:avLst/>
        </a:prstGeom>
        <a:solidFill>
          <a:srgbClr val="B1F1EF"/>
        </a:solidFill>
        <a:ln cap="rnd" cmpd="sng"/>
        <a:effectLst>
          <a:innerShdw blurRad="63500" dist="50800" dir="2700000">
            <a:prstClr val="black">
              <a:alpha val="50000"/>
            </a:prstClr>
          </a:innerShdw>
        </a:effectLst>
        <a:scene3d>
          <a:camera prst="perspectiveAbove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cs-CZ" sz="1400" b="1">
              <a:solidFill>
                <a:schemeClr val="tx2">
                  <a:lumMod val="50000"/>
                </a:schemeClr>
              </a:solidFill>
              <a:latin typeface="+mn-lt"/>
              <a:cs typeface="Times New Roman" pitchFamily="18" charset="0"/>
            </a:rPr>
            <a:t>KAPITÁLOVÉ VÝDAJE</a:t>
          </a:r>
        </a:p>
      </xdr:txBody>
    </xdr:sp>
    <xdr:clientData/>
  </xdr:twoCellAnchor>
  <xdr:twoCellAnchor>
    <xdr:from>
      <xdr:col>4</xdr:col>
      <xdr:colOff>0</xdr:colOff>
      <xdr:row>79</xdr:row>
      <xdr:rowOff>190500</xdr:rowOff>
    </xdr:from>
    <xdr:to>
      <xdr:col>4</xdr:col>
      <xdr:colOff>2438400</xdr:colOff>
      <xdr:row>81</xdr:row>
      <xdr:rowOff>142875</xdr:rowOff>
    </xdr:to>
    <xdr:sp macro="" textlink="">
      <xdr:nvSpPr>
        <xdr:cNvPr id="8" name="Zaoblený obdélník 7"/>
        <xdr:cNvSpPr/>
      </xdr:nvSpPr>
      <xdr:spPr>
        <a:xfrm>
          <a:off x="1409700" y="10858500"/>
          <a:ext cx="2438400" cy="352425"/>
        </a:xfrm>
        <a:prstGeom prst="roundRect">
          <a:avLst/>
        </a:prstGeom>
        <a:solidFill>
          <a:srgbClr val="FFC000"/>
        </a:solidFill>
        <a:ln>
          <a:solidFill>
            <a:srgbClr val="00B0F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44450" h="69850" prst="slope"/>
          <a:bevelB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cs-CZ" sz="1200" b="1">
              <a:solidFill>
                <a:schemeClr val="tx2">
                  <a:lumMod val="50000"/>
                </a:schemeClr>
              </a:solidFill>
              <a:latin typeface="+mn-lt"/>
              <a:cs typeface="Times New Roman" pitchFamily="18" charset="0"/>
            </a:rPr>
            <a:t>20 - Městská</a:t>
          </a:r>
          <a:r>
            <a:rPr lang="cs-CZ" sz="1200" b="1" baseline="0">
              <a:solidFill>
                <a:schemeClr val="tx2">
                  <a:lumMod val="50000"/>
                </a:schemeClr>
              </a:solidFill>
              <a:latin typeface="+mn-lt"/>
              <a:cs typeface="Times New Roman" pitchFamily="18" charset="0"/>
            </a:rPr>
            <a:t> policie</a:t>
          </a:r>
          <a:endParaRPr lang="cs-CZ" sz="1200" b="1">
            <a:solidFill>
              <a:schemeClr val="tx2">
                <a:lumMod val="50000"/>
              </a:schemeClr>
            </a:solidFill>
            <a:latin typeface="+mn-lt"/>
            <a:cs typeface="Times New Roman" pitchFamily="18" charset="0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4</xdr:col>
      <xdr:colOff>1524001</xdr:colOff>
      <xdr:row>1</xdr:row>
      <xdr:rowOff>161925</xdr:rowOff>
    </xdr:to>
    <xdr:sp macro="" textlink="">
      <xdr:nvSpPr>
        <xdr:cNvPr id="2" name="Zaoblený obdélník 1"/>
        <xdr:cNvSpPr/>
      </xdr:nvSpPr>
      <xdr:spPr>
        <a:xfrm>
          <a:off x="266701" y="0"/>
          <a:ext cx="2667000" cy="361950"/>
        </a:xfrm>
        <a:prstGeom prst="roundRect">
          <a:avLst/>
        </a:prstGeom>
        <a:solidFill>
          <a:srgbClr val="B1F1EF"/>
        </a:solidFill>
        <a:ln cap="rnd" cmpd="sng"/>
        <a:effectLst>
          <a:innerShdw blurRad="63500" dist="50800" dir="2700000">
            <a:prstClr val="black">
              <a:alpha val="50000"/>
            </a:prstClr>
          </a:innerShdw>
        </a:effectLst>
        <a:scene3d>
          <a:camera prst="perspectiveAbove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cs-CZ" sz="1400" b="1">
              <a:solidFill>
                <a:schemeClr val="tx2">
                  <a:lumMod val="50000"/>
                </a:schemeClr>
              </a:solidFill>
              <a:latin typeface="+mn-lt"/>
              <a:cs typeface="Times New Roman" pitchFamily="18" charset="0"/>
            </a:rPr>
            <a:t>BĚŽNÉ VÝDAJE</a:t>
          </a:r>
        </a:p>
      </xdr:txBody>
    </xdr:sp>
    <xdr:clientData/>
  </xdr:twoCellAnchor>
  <xdr:twoCellAnchor>
    <xdr:from>
      <xdr:col>4</xdr:col>
      <xdr:colOff>9525</xdr:colOff>
      <xdr:row>3</xdr:row>
      <xdr:rowOff>9525</xdr:rowOff>
    </xdr:from>
    <xdr:to>
      <xdr:col>5</xdr:col>
      <xdr:colOff>0</xdr:colOff>
      <xdr:row>4</xdr:row>
      <xdr:rowOff>161925</xdr:rowOff>
    </xdr:to>
    <xdr:sp macro="" textlink="">
      <xdr:nvSpPr>
        <xdr:cNvPr id="3" name="Zaoblený obdélník 2"/>
        <xdr:cNvSpPr/>
      </xdr:nvSpPr>
      <xdr:spPr>
        <a:xfrm>
          <a:off x="1419225" y="609600"/>
          <a:ext cx="2438400" cy="352425"/>
        </a:xfrm>
        <a:prstGeom prst="roundRect">
          <a:avLst/>
        </a:prstGeom>
        <a:solidFill>
          <a:srgbClr val="FFC000"/>
        </a:solidFill>
        <a:ln>
          <a:solidFill>
            <a:srgbClr val="00B0F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44450" h="69850" prst="slope"/>
          <a:bevelB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cs-CZ" sz="1200" b="1">
              <a:solidFill>
                <a:schemeClr val="tx2">
                  <a:lumMod val="50000"/>
                </a:schemeClr>
              </a:solidFill>
              <a:latin typeface="+mn-lt"/>
            </a:rPr>
            <a:t>21 - Odbor</a:t>
          </a:r>
          <a:r>
            <a:rPr lang="cs-CZ" sz="1200" b="1" baseline="0">
              <a:solidFill>
                <a:schemeClr val="tx2">
                  <a:lumMod val="50000"/>
                </a:schemeClr>
              </a:solidFill>
              <a:latin typeface="+mn-lt"/>
            </a:rPr>
            <a:t> </a:t>
          </a:r>
          <a:r>
            <a:rPr lang="cs-CZ" sz="1200" b="1" baseline="0">
              <a:solidFill>
                <a:schemeClr val="tx2">
                  <a:lumMod val="50000"/>
                </a:schemeClr>
              </a:solidFill>
              <a:latin typeface="+mn-lt"/>
              <a:cs typeface="Times New Roman" pitchFamily="18" charset="0"/>
            </a:rPr>
            <a:t>informačních</a:t>
          </a:r>
          <a:r>
            <a:rPr lang="cs-CZ" sz="1200" b="1" baseline="0">
              <a:solidFill>
                <a:schemeClr val="tx2">
                  <a:lumMod val="50000"/>
                </a:schemeClr>
              </a:solidFill>
              <a:latin typeface="+mn-lt"/>
            </a:rPr>
            <a:t> technologií</a:t>
          </a:r>
          <a:endParaRPr lang="cs-CZ" sz="1200" b="1">
            <a:solidFill>
              <a:schemeClr val="tx2">
                <a:lumMod val="50000"/>
              </a:schemeClr>
            </a:solidFill>
            <a:latin typeface="+mn-lt"/>
          </a:endParaRP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4</xdr:col>
      <xdr:colOff>1524000</xdr:colOff>
      <xdr:row>32</xdr:row>
      <xdr:rowOff>161925</xdr:rowOff>
    </xdr:to>
    <xdr:sp macro="" textlink="">
      <xdr:nvSpPr>
        <xdr:cNvPr id="8" name="Zaoblený obdélník 7"/>
        <xdr:cNvSpPr/>
      </xdr:nvSpPr>
      <xdr:spPr>
        <a:xfrm>
          <a:off x="266700" y="7258050"/>
          <a:ext cx="2667000" cy="352425"/>
        </a:xfrm>
        <a:prstGeom prst="roundRect">
          <a:avLst/>
        </a:prstGeom>
        <a:solidFill>
          <a:srgbClr val="B1F1EF"/>
        </a:solidFill>
        <a:ln cap="rnd" cmpd="sng"/>
        <a:effectLst>
          <a:innerShdw blurRad="63500" dist="50800" dir="2700000">
            <a:prstClr val="black">
              <a:alpha val="50000"/>
            </a:prstClr>
          </a:innerShdw>
        </a:effectLst>
        <a:scene3d>
          <a:camera prst="perspectiveAbove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cs-CZ" sz="1400" b="1">
              <a:solidFill>
                <a:schemeClr val="tx2">
                  <a:lumMod val="50000"/>
                </a:schemeClr>
              </a:solidFill>
              <a:latin typeface="+mn-lt"/>
              <a:cs typeface="Times New Roman" pitchFamily="18" charset="0"/>
            </a:rPr>
            <a:t>KAPITÁLOVÉ VÝDAJE</a:t>
          </a:r>
        </a:p>
      </xdr:txBody>
    </xdr:sp>
    <xdr:clientData/>
  </xdr:twoCellAnchor>
  <xdr:twoCellAnchor>
    <xdr:from>
      <xdr:col>4</xdr:col>
      <xdr:colOff>9525</xdr:colOff>
      <xdr:row>34</xdr:row>
      <xdr:rowOff>19050</xdr:rowOff>
    </xdr:from>
    <xdr:to>
      <xdr:col>5</xdr:col>
      <xdr:colOff>0</xdr:colOff>
      <xdr:row>35</xdr:row>
      <xdr:rowOff>171450</xdr:rowOff>
    </xdr:to>
    <xdr:sp macro="" textlink="">
      <xdr:nvSpPr>
        <xdr:cNvPr id="10" name="Zaoblený obdélník 9"/>
        <xdr:cNvSpPr/>
      </xdr:nvSpPr>
      <xdr:spPr>
        <a:xfrm>
          <a:off x="1419225" y="7667625"/>
          <a:ext cx="2438400" cy="352425"/>
        </a:xfrm>
        <a:prstGeom prst="roundRect">
          <a:avLst/>
        </a:prstGeom>
        <a:solidFill>
          <a:srgbClr val="FFC000"/>
        </a:solidFill>
        <a:ln>
          <a:solidFill>
            <a:srgbClr val="00B0F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44450" h="69850" prst="slope"/>
          <a:bevelB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cs-CZ" sz="1200" b="1">
              <a:solidFill>
                <a:schemeClr val="tx2">
                  <a:lumMod val="50000"/>
                </a:schemeClr>
              </a:solidFill>
              <a:latin typeface="+mn-lt"/>
            </a:rPr>
            <a:t>21 - Odbor</a:t>
          </a:r>
          <a:r>
            <a:rPr lang="cs-CZ" sz="1200" b="1" baseline="0">
              <a:solidFill>
                <a:schemeClr val="tx2">
                  <a:lumMod val="50000"/>
                </a:schemeClr>
              </a:solidFill>
              <a:latin typeface="+mn-lt"/>
            </a:rPr>
            <a:t> </a:t>
          </a:r>
          <a:r>
            <a:rPr lang="cs-CZ" sz="1200" b="1" baseline="0">
              <a:solidFill>
                <a:schemeClr val="tx2">
                  <a:lumMod val="50000"/>
                </a:schemeClr>
              </a:solidFill>
              <a:latin typeface="+mn-lt"/>
              <a:cs typeface="Times New Roman" pitchFamily="18" charset="0"/>
            </a:rPr>
            <a:t>informačních</a:t>
          </a:r>
          <a:r>
            <a:rPr lang="cs-CZ" sz="1200" b="1" baseline="0">
              <a:solidFill>
                <a:schemeClr val="tx2">
                  <a:lumMod val="50000"/>
                </a:schemeClr>
              </a:solidFill>
              <a:latin typeface="+mn-lt"/>
            </a:rPr>
            <a:t> technologií</a:t>
          </a:r>
          <a:endParaRPr lang="cs-CZ" sz="1200" b="1">
            <a:solidFill>
              <a:schemeClr val="tx2">
                <a:lumMod val="50000"/>
              </a:schemeClr>
            </a:solidFill>
            <a:latin typeface="+mn-lt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342899</xdr:colOff>
      <xdr:row>3</xdr:row>
      <xdr:rowOff>9524</xdr:rowOff>
    </xdr:from>
    <xdr:to>
      <xdr:col>4</xdr:col>
      <xdr:colOff>2486024</xdr:colOff>
      <xdr:row>5</xdr:row>
      <xdr:rowOff>47625</xdr:rowOff>
    </xdr:to>
    <xdr:sp macro="" textlink="">
      <xdr:nvSpPr>
        <xdr:cNvPr id="2" name="Zaoblený obdélník 1"/>
        <xdr:cNvSpPr/>
      </xdr:nvSpPr>
      <xdr:spPr>
        <a:xfrm>
          <a:off x="1552574" y="609599"/>
          <a:ext cx="2486025" cy="438151"/>
        </a:xfrm>
        <a:prstGeom prst="roundRect">
          <a:avLst/>
        </a:prstGeom>
        <a:solidFill>
          <a:srgbClr val="FFC000"/>
        </a:solidFill>
        <a:ln>
          <a:solidFill>
            <a:srgbClr val="00B0F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44450" h="69850" prst="slope"/>
          <a:bevelB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r>
            <a:rPr lang="cs-CZ" sz="1200" b="1">
              <a:solidFill>
                <a:schemeClr val="tx2">
                  <a:lumMod val="50000"/>
                </a:schemeClr>
              </a:solidFill>
              <a:latin typeface="+mn-lt"/>
              <a:ea typeface="+mn-ea"/>
              <a:cs typeface="Times New Roman" pitchFamily="18" charset="0"/>
            </a:rPr>
            <a:t>25 - Odbor kultury, školství a tělovýchovy</a:t>
          </a:r>
        </a:p>
      </xdr:txBody>
    </xdr:sp>
    <xdr:clientData/>
  </xdr:twoCellAnchor>
  <xdr:twoCellAnchor>
    <xdr:from>
      <xdr:col>4</xdr:col>
      <xdr:colOff>0</xdr:colOff>
      <xdr:row>167</xdr:row>
      <xdr:rowOff>28575</xdr:rowOff>
    </xdr:from>
    <xdr:to>
      <xdr:col>4</xdr:col>
      <xdr:colOff>2486025</xdr:colOff>
      <xdr:row>169</xdr:row>
      <xdr:rowOff>66676</xdr:rowOff>
    </xdr:to>
    <xdr:sp macro="" textlink="">
      <xdr:nvSpPr>
        <xdr:cNvPr id="3" name="Zaoblený obdélník 2"/>
        <xdr:cNvSpPr/>
      </xdr:nvSpPr>
      <xdr:spPr>
        <a:xfrm>
          <a:off x="1552575" y="37309425"/>
          <a:ext cx="2486025" cy="438151"/>
        </a:xfrm>
        <a:prstGeom prst="roundRect">
          <a:avLst/>
        </a:prstGeom>
        <a:solidFill>
          <a:srgbClr val="FFC000"/>
        </a:solidFill>
        <a:ln>
          <a:solidFill>
            <a:srgbClr val="00B0F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44450" h="69850" prst="slope"/>
          <a:bevelB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r>
            <a:rPr lang="cs-CZ" sz="1200" b="1">
              <a:solidFill>
                <a:schemeClr val="tx2">
                  <a:lumMod val="50000"/>
                </a:schemeClr>
              </a:solidFill>
              <a:latin typeface="+mn-lt"/>
              <a:ea typeface="+mn-ea"/>
              <a:cs typeface="Times New Roman" pitchFamily="18" charset="0"/>
            </a:rPr>
            <a:t>25 - Odbor kultury, školství a tělovýchovy</a:t>
          </a:r>
        </a:p>
      </xdr:txBody>
    </xdr:sp>
    <xdr:clientData/>
  </xdr:twoCellAnchor>
  <xdr:twoCellAnchor>
    <xdr:from>
      <xdr:col>1</xdr:col>
      <xdr:colOff>28575</xdr:colOff>
      <xdr:row>0</xdr:row>
      <xdr:rowOff>9525</xdr:rowOff>
    </xdr:from>
    <xdr:to>
      <xdr:col>4</xdr:col>
      <xdr:colOff>1457325</xdr:colOff>
      <xdr:row>1</xdr:row>
      <xdr:rowOff>171450</xdr:rowOff>
    </xdr:to>
    <xdr:sp macro="" textlink="">
      <xdr:nvSpPr>
        <xdr:cNvPr id="4" name="Zaoblený obdélník 3"/>
        <xdr:cNvSpPr/>
      </xdr:nvSpPr>
      <xdr:spPr>
        <a:xfrm>
          <a:off x="552450" y="9525"/>
          <a:ext cx="2457450" cy="361950"/>
        </a:xfrm>
        <a:prstGeom prst="roundRect">
          <a:avLst/>
        </a:prstGeom>
        <a:solidFill>
          <a:srgbClr val="B1F1EF"/>
        </a:solidFill>
        <a:ln cap="rnd" cmpd="sng"/>
        <a:effectLst>
          <a:innerShdw blurRad="63500" dist="50800" dir="2700000">
            <a:prstClr val="black">
              <a:alpha val="50000"/>
            </a:prstClr>
          </a:innerShdw>
        </a:effectLst>
        <a:scene3d>
          <a:camera prst="perspectiveAbove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cs-CZ" sz="1400" b="1">
              <a:solidFill>
                <a:schemeClr val="tx2">
                  <a:lumMod val="50000"/>
                </a:schemeClr>
              </a:solidFill>
              <a:latin typeface="+mn-lt"/>
              <a:cs typeface="Times New Roman" pitchFamily="18" charset="0"/>
            </a:rPr>
            <a:t>BĚŽNÉ VÝDAJE</a:t>
          </a:r>
        </a:p>
      </xdr:txBody>
    </xdr:sp>
    <xdr:clientData/>
  </xdr:twoCellAnchor>
  <xdr:twoCellAnchor>
    <xdr:from>
      <xdr:col>1</xdr:col>
      <xdr:colOff>0</xdr:colOff>
      <xdr:row>164</xdr:row>
      <xdr:rowOff>133350</xdr:rowOff>
    </xdr:from>
    <xdr:to>
      <xdr:col>4</xdr:col>
      <xdr:colOff>1638300</xdr:colOff>
      <xdr:row>166</xdr:row>
      <xdr:rowOff>85725</xdr:rowOff>
    </xdr:to>
    <xdr:sp macro="" textlink="">
      <xdr:nvSpPr>
        <xdr:cNvPr id="5" name="Zaoblený obdélník 4"/>
        <xdr:cNvSpPr/>
      </xdr:nvSpPr>
      <xdr:spPr>
        <a:xfrm>
          <a:off x="523875" y="36814125"/>
          <a:ext cx="2667000" cy="352425"/>
        </a:xfrm>
        <a:prstGeom prst="roundRect">
          <a:avLst/>
        </a:prstGeom>
        <a:solidFill>
          <a:srgbClr val="B1F1EF"/>
        </a:solidFill>
        <a:ln cap="rnd" cmpd="sng"/>
        <a:effectLst>
          <a:innerShdw blurRad="63500" dist="50800" dir="2700000">
            <a:prstClr val="black">
              <a:alpha val="50000"/>
            </a:prstClr>
          </a:innerShdw>
        </a:effectLst>
        <a:scene3d>
          <a:camera prst="perspectiveAbove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cs-CZ" sz="1400" b="1">
              <a:solidFill>
                <a:schemeClr val="tx2">
                  <a:lumMod val="50000"/>
                </a:schemeClr>
              </a:solidFill>
              <a:latin typeface="+mn-lt"/>
              <a:cs typeface="Times New Roman" pitchFamily="18" charset="0"/>
            </a:rPr>
            <a:t>KAPITÁLOVÉ VÝDAJE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4</xdr:col>
      <xdr:colOff>1524001</xdr:colOff>
      <xdr:row>1</xdr:row>
      <xdr:rowOff>161925</xdr:rowOff>
    </xdr:to>
    <xdr:sp macro="" textlink="">
      <xdr:nvSpPr>
        <xdr:cNvPr id="2" name="Zaoblený obdélník 1"/>
        <xdr:cNvSpPr/>
      </xdr:nvSpPr>
      <xdr:spPr>
        <a:xfrm>
          <a:off x="266701" y="0"/>
          <a:ext cx="2667000" cy="361950"/>
        </a:xfrm>
        <a:prstGeom prst="roundRect">
          <a:avLst/>
        </a:prstGeom>
        <a:solidFill>
          <a:srgbClr val="B1F1EF"/>
        </a:solidFill>
        <a:ln cap="rnd" cmpd="sng"/>
        <a:effectLst>
          <a:innerShdw blurRad="63500" dist="50800" dir="2700000">
            <a:prstClr val="black">
              <a:alpha val="50000"/>
            </a:prstClr>
          </a:innerShdw>
        </a:effectLst>
        <a:scene3d>
          <a:camera prst="perspectiveAbove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cs-CZ" sz="1400" b="1">
              <a:solidFill>
                <a:schemeClr val="tx2">
                  <a:lumMod val="50000"/>
                </a:schemeClr>
              </a:solidFill>
              <a:latin typeface="+mn-lt"/>
            </a:rPr>
            <a:t>BĚŽNÉ VÝDAJE</a:t>
          </a:r>
        </a:p>
      </xdr:txBody>
    </xdr:sp>
    <xdr:clientData/>
  </xdr:twoCellAnchor>
  <xdr:twoCellAnchor>
    <xdr:from>
      <xdr:col>4</xdr:col>
      <xdr:colOff>0</xdr:colOff>
      <xdr:row>2</xdr:row>
      <xdr:rowOff>190500</xdr:rowOff>
    </xdr:from>
    <xdr:to>
      <xdr:col>4</xdr:col>
      <xdr:colOff>2438400</xdr:colOff>
      <xdr:row>4</xdr:row>
      <xdr:rowOff>142875</xdr:rowOff>
    </xdr:to>
    <xdr:sp macro="" textlink="">
      <xdr:nvSpPr>
        <xdr:cNvPr id="3" name="Zaoblený obdélník 2"/>
        <xdr:cNvSpPr/>
      </xdr:nvSpPr>
      <xdr:spPr>
        <a:xfrm>
          <a:off x="1409700" y="590550"/>
          <a:ext cx="2438400" cy="352425"/>
        </a:xfrm>
        <a:prstGeom prst="roundRect">
          <a:avLst/>
        </a:prstGeom>
        <a:solidFill>
          <a:srgbClr val="FFC000"/>
        </a:solidFill>
        <a:ln>
          <a:solidFill>
            <a:srgbClr val="00B0F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44450" h="69850" prst="slope"/>
          <a:bevelB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cs-CZ" sz="1100" b="1">
              <a:solidFill>
                <a:schemeClr val="tx2">
                  <a:lumMod val="50000"/>
                </a:schemeClr>
              </a:solidFill>
              <a:latin typeface="+mn-lt"/>
            </a:rPr>
            <a:t>28 - Odbor</a:t>
          </a:r>
          <a:r>
            <a:rPr lang="cs-CZ" sz="1100" b="1" baseline="0">
              <a:solidFill>
                <a:schemeClr val="tx2">
                  <a:lumMod val="50000"/>
                </a:schemeClr>
              </a:solidFill>
              <a:latin typeface="+mn-lt"/>
            </a:rPr>
            <a:t>  sociálních věcí</a:t>
          </a:r>
          <a:endParaRPr lang="cs-CZ" sz="1100" b="1">
            <a:solidFill>
              <a:schemeClr val="tx2">
                <a:lumMod val="50000"/>
              </a:schemeClr>
            </a:solidFill>
            <a:latin typeface="+mn-lt"/>
          </a:endParaRP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4</xdr:col>
      <xdr:colOff>1514475</xdr:colOff>
      <xdr:row>65</xdr:row>
      <xdr:rowOff>152400</xdr:rowOff>
    </xdr:to>
    <xdr:sp macro="" textlink="">
      <xdr:nvSpPr>
        <xdr:cNvPr id="4" name="Zaoblený obdélník 3"/>
        <xdr:cNvSpPr/>
      </xdr:nvSpPr>
      <xdr:spPr>
        <a:xfrm>
          <a:off x="266700" y="13677900"/>
          <a:ext cx="2657475" cy="0"/>
        </a:xfrm>
        <a:prstGeom prst="roundRect">
          <a:avLst/>
        </a:prstGeom>
        <a:solidFill>
          <a:srgbClr val="B1F1EF"/>
        </a:solidFill>
        <a:ln cap="rnd" cmpd="sng"/>
        <a:effectLst>
          <a:innerShdw blurRad="63500" dist="50800" dir="2700000">
            <a:prstClr val="black">
              <a:alpha val="50000"/>
            </a:prstClr>
          </a:innerShdw>
        </a:effectLst>
        <a:scene3d>
          <a:camera prst="perspectiveAbove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cs-CZ" sz="1400" b="1">
              <a:solidFill>
                <a:schemeClr val="tx2">
                  <a:lumMod val="50000"/>
                </a:schemeClr>
              </a:solidFill>
              <a:latin typeface="+mj-lt"/>
            </a:rPr>
            <a:t>KAPITÁLOVÉ VÝDAJE</a:t>
          </a:r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4</xdr:col>
      <xdr:colOff>2438400</xdr:colOff>
      <xdr:row>69</xdr:row>
      <xdr:rowOff>38100</xdr:rowOff>
    </xdr:to>
    <xdr:sp macro="" textlink="">
      <xdr:nvSpPr>
        <xdr:cNvPr id="5" name="Zaoblený obdélník 4"/>
        <xdr:cNvSpPr/>
      </xdr:nvSpPr>
      <xdr:spPr>
        <a:xfrm>
          <a:off x="1409700" y="13677900"/>
          <a:ext cx="2438400" cy="0"/>
        </a:xfrm>
        <a:prstGeom prst="roundRect">
          <a:avLst/>
        </a:prstGeom>
        <a:solidFill>
          <a:srgbClr val="FFC000"/>
        </a:solidFill>
        <a:ln>
          <a:solidFill>
            <a:srgbClr val="00B0F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44450" h="69850" prst="slope"/>
          <a:bevelB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cs-CZ" sz="1100" b="1">
              <a:solidFill>
                <a:schemeClr val="tx2">
                  <a:lumMod val="50000"/>
                </a:schemeClr>
              </a:solidFill>
              <a:latin typeface="+mn-lt"/>
            </a:rPr>
            <a:t>28 - Odbor</a:t>
          </a:r>
          <a:r>
            <a:rPr lang="cs-CZ" sz="1100" b="1" baseline="0">
              <a:solidFill>
                <a:schemeClr val="tx2">
                  <a:lumMod val="50000"/>
                </a:schemeClr>
              </a:solidFill>
              <a:latin typeface="+mn-lt"/>
            </a:rPr>
            <a:t>  sociálních věcí</a:t>
          </a:r>
          <a:endParaRPr lang="cs-CZ" sz="1100" b="1">
            <a:solidFill>
              <a:schemeClr val="tx2">
                <a:lumMod val="50000"/>
              </a:schemeClr>
            </a:solidFill>
            <a:latin typeface="+mn-lt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1524000</xdr:colOff>
      <xdr:row>1</xdr:row>
      <xdr:rowOff>171450</xdr:rowOff>
    </xdr:to>
    <xdr:sp macro="" textlink="">
      <xdr:nvSpPr>
        <xdr:cNvPr id="2" name="Zaoblený obdélník 1"/>
        <xdr:cNvSpPr/>
      </xdr:nvSpPr>
      <xdr:spPr>
        <a:xfrm>
          <a:off x="0" y="0"/>
          <a:ext cx="2667000" cy="361950"/>
        </a:xfrm>
        <a:prstGeom prst="roundRect">
          <a:avLst/>
        </a:prstGeom>
        <a:solidFill>
          <a:srgbClr val="B1F1EF"/>
        </a:solidFill>
        <a:ln cap="rnd" cmpd="sng"/>
        <a:effectLst>
          <a:innerShdw blurRad="63500" dist="50800" dir="2700000">
            <a:prstClr val="black">
              <a:alpha val="50000"/>
            </a:prstClr>
          </a:innerShdw>
        </a:effectLst>
        <a:scene3d>
          <a:camera prst="perspectiveAbove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cs-CZ" sz="1400" b="1">
              <a:solidFill>
                <a:schemeClr val="tx2">
                  <a:lumMod val="50000"/>
                </a:schemeClr>
              </a:solidFill>
              <a:latin typeface="+mn-lt"/>
            </a:rPr>
            <a:t>BĚŽNÉ VÝDAJE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2828925</xdr:colOff>
      <xdr:row>4</xdr:row>
      <xdr:rowOff>152400</xdr:rowOff>
    </xdr:to>
    <xdr:sp macro="" textlink="">
      <xdr:nvSpPr>
        <xdr:cNvPr id="3" name="Zaoblený obdélník 2"/>
        <xdr:cNvSpPr/>
      </xdr:nvSpPr>
      <xdr:spPr>
        <a:xfrm>
          <a:off x="1143000" y="581025"/>
          <a:ext cx="2828925" cy="361950"/>
        </a:xfrm>
        <a:prstGeom prst="roundRect">
          <a:avLst/>
        </a:prstGeom>
        <a:solidFill>
          <a:srgbClr val="FFC000"/>
        </a:solidFill>
        <a:ln>
          <a:solidFill>
            <a:srgbClr val="00B0F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44450" h="69850" prst="slope"/>
          <a:bevelB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cs-CZ" sz="1200" b="1">
              <a:solidFill>
                <a:schemeClr val="tx2">
                  <a:lumMod val="50000"/>
                </a:schemeClr>
              </a:solidFill>
              <a:latin typeface="+mn-lt"/>
            </a:rPr>
            <a:t>34 - Odbor strategií a dotací</a:t>
          </a:r>
          <a:endParaRPr lang="cs-CZ" sz="1200" b="1">
            <a:solidFill>
              <a:schemeClr val="tx2">
                <a:lumMod val="50000"/>
              </a:schemeClr>
            </a:solidFill>
            <a:latin typeface="+mn-lt"/>
            <a:cs typeface="Times New Roman" pitchFamily="18" charset="0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57151</xdr:colOff>
      <xdr:row>0</xdr:row>
      <xdr:rowOff>0</xdr:rowOff>
    </xdr:from>
    <xdr:to>
      <xdr:col>4</xdr:col>
      <xdr:colOff>1581151</xdr:colOff>
      <xdr:row>1</xdr:row>
      <xdr:rowOff>161925</xdr:rowOff>
    </xdr:to>
    <xdr:sp macro="" textlink="">
      <xdr:nvSpPr>
        <xdr:cNvPr id="2" name="Zaoblený obdélník 1"/>
        <xdr:cNvSpPr/>
      </xdr:nvSpPr>
      <xdr:spPr>
        <a:xfrm>
          <a:off x="381001" y="0"/>
          <a:ext cx="2667000" cy="361950"/>
        </a:xfrm>
        <a:prstGeom prst="roundRect">
          <a:avLst/>
        </a:prstGeom>
        <a:solidFill>
          <a:srgbClr val="B1F1EF"/>
        </a:solidFill>
        <a:ln cap="rnd" cmpd="sng"/>
        <a:effectLst>
          <a:innerShdw blurRad="63500" dist="50800" dir="2700000">
            <a:prstClr val="black">
              <a:alpha val="50000"/>
            </a:prstClr>
          </a:innerShdw>
        </a:effectLst>
        <a:scene3d>
          <a:camera prst="perspectiveAbove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cs-CZ" sz="1400" b="1">
              <a:solidFill>
                <a:schemeClr val="tx2">
                  <a:lumMod val="50000"/>
                </a:schemeClr>
              </a:solidFill>
              <a:latin typeface="+mn-lt"/>
            </a:rPr>
            <a:t>BĚŽNÉ </a:t>
          </a:r>
          <a:r>
            <a:rPr lang="cs-CZ" sz="1400" b="1">
              <a:solidFill>
                <a:schemeClr val="tx2">
                  <a:lumMod val="50000"/>
                </a:schemeClr>
              </a:solidFill>
              <a:latin typeface="+mn-lt"/>
              <a:cs typeface="Times New Roman" pitchFamily="18" charset="0"/>
            </a:rPr>
            <a:t>VÝDAJE</a:t>
          </a:r>
        </a:p>
      </xdr:txBody>
    </xdr:sp>
    <xdr:clientData/>
  </xdr:twoCellAnchor>
  <xdr:twoCellAnchor>
    <xdr:from>
      <xdr:col>4</xdr:col>
      <xdr:colOff>9524</xdr:colOff>
      <xdr:row>3</xdr:row>
      <xdr:rowOff>38100</xdr:rowOff>
    </xdr:from>
    <xdr:to>
      <xdr:col>4</xdr:col>
      <xdr:colOff>2838449</xdr:colOff>
      <xdr:row>4</xdr:row>
      <xdr:rowOff>190500</xdr:rowOff>
    </xdr:to>
    <xdr:sp macro="" textlink="">
      <xdr:nvSpPr>
        <xdr:cNvPr id="3" name="Zaoblený obdélník 2"/>
        <xdr:cNvSpPr/>
      </xdr:nvSpPr>
      <xdr:spPr>
        <a:xfrm>
          <a:off x="1476374" y="638175"/>
          <a:ext cx="2828925" cy="352425"/>
        </a:xfrm>
        <a:prstGeom prst="roundRect">
          <a:avLst/>
        </a:prstGeom>
        <a:solidFill>
          <a:srgbClr val="FFC000"/>
        </a:solidFill>
        <a:ln>
          <a:solidFill>
            <a:srgbClr val="00B0F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44450" h="69850" prst="slope"/>
          <a:bevelB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cs-CZ" sz="1200" b="1">
              <a:solidFill>
                <a:schemeClr val="tx2">
                  <a:lumMod val="50000"/>
                </a:schemeClr>
              </a:solidFill>
              <a:latin typeface="+mn-lt"/>
            </a:rPr>
            <a:t>35 - Odbor rozvoje a</a:t>
          </a:r>
          <a:r>
            <a:rPr lang="cs-CZ" sz="1200" b="1" baseline="0">
              <a:solidFill>
                <a:schemeClr val="tx2">
                  <a:lumMod val="50000"/>
                </a:schemeClr>
              </a:solidFill>
              <a:latin typeface="+mn-lt"/>
            </a:rPr>
            <a:t> </a:t>
          </a:r>
          <a:r>
            <a:rPr lang="cs-CZ" sz="1200" b="1" baseline="0">
              <a:solidFill>
                <a:schemeClr val="tx2">
                  <a:lumMod val="50000"/>
                </a:schemeClr>
              </a:solidFill>
              <a:latin typeface="+mn-lt"/>
              <a:cs typeface="Times New Roman" pitchFamily="18" charset="0"/>
            </a:rPr>
            <a:t>investic</a:t>
          </a:r>
          <a:endParaRPr lang="cs-CZ" sz="1200" b="1">
            <a:solidFill>
              <a:schemeClr val="tx2">
                <a:lumMod val="50000"/>
              </a:schemeClr>
            </a:solidFill>
            <a:latin typeface="+mn-lt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34925</xdr:colOff>
      <xdr:row>28</xdr:row>
      <xdr:rowOff>15875</xdr:rowOff>
    </xdr:from>
    <xdr:to>
      <xdr:col>4</xdr:col>
      <xdr:colOff>1612900</xdr:colOff>
      <xdr:row>29</xdr:row>
      <xdr:rowOff>177800</xdr:rowOff>
    </xdr:to>
    <xdr:sp macro="" textlink="">
      <xdr:nvSpPr>
        <xdr:cNvPr id="4" name="Zaoblený obdélník 3"/>
        <xdr:cNvSpPr/>
      </xdr:nvSpPr>
      <xdr:spPr>
        <a:xfrm>
          <a:off x="358775" y="8893175"/>
          <a:ext cx="2720975" cy="361950"/>
        </a:xfrm>
        <a:prstGeom prst="roundRect">
          <a:avLst/>
        </a:prstGeom>
        <a:solidFill>
          <a:srgbClr val="B1F1EF"/>
        </a:solidFill>
        <a:ln cap="rnd" cmpd="sng"/>
        <a:effectLst>
          <a:innerShdw blurRad="63500" dist="50800" dir="2700000">
            <a:prstClr val="black">
              <a:alpha val="50000"/>
            </a:prstClr>
          </a:innerShdw>
        </a:effectLst>
        <a:scene3d>
          <a:camera prst="perspectiveAbove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cs-CZ" sz="1400" b="1">
              <a:solidFill>
                <a:schemeClr val="tx2">
                  <a:lumMod val="50000"/>
                </a:schemeClr>
              </a:solidFill>
              <a:latin typeface="+mn-lt"/>
              <a:cs typeface="Times New Roman" pitchFamily="18" charset="0"/>
            </a:rPr>
            <a:t>KAPITÁLOVÉ VÝDAJE</a:t>
          </a:r>
        </a:p>
      </xdr:txBody>
    </xdr:sp>
    <xdr:clientData/>
  </xdr:twoCellAnchor>
  <xdr:twoCellAnchor>
    <xdr:from>
      <xdr:col>3</xdr:col>
      <xdr:colOff>371475</xdr:colOff>
      <xdr:row>31</xdr:row>
      <xdr:rowOff>38100</xdr:rowOff>
    </xdr:from>
    <xdr:to>
      <xdr:col>4</xdr:col>
      <xdr:colOff>2828925</xdr:colOff>
      <xdr:row>32</xdr:row>
      <xdr:rowOff>190500</xdr:rowOff>
    </xdr:to>
    <xdr:sp macro="" textlink="">
      <xdr:nvSpPr>
        <xdr:cNvPr id="5" name="Zaoblený obdélník 4"/>
        <xdr:cNvSpPr/>
      </xdr:nvSpPr>
      <xdr:spPr>
        <a:xfrm>
          <a:off x="1457325" y="9515475"/>
          <a:ext cx="2838450" cy="352425"/>
        </a:xfrm>
        <a:prstGeom prst="roundRect">
          <a:avLst/>
        </a:prstGeom>
        <a:solidFill>
          <a:srgbClr val="FFC000"/>
        </a:solidFill>
        <a:ln>
          <a:solidFill>
            <a:srgbClr val="00B0F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44450" h="69850" prst="slope"/>
          <a:bevelB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cs-CZ" sz="1200" b="1">
              <a:solidFill>
                <a:schemeClr val="tx2">
                  <a:lumMod val="50000"/>
                </a:schemeClr>
              </a:solidFill>
              <a:latin typeface="+mn-lt"/>
              <a:cs typeface="Times New Roman" pitchFamily="18" charset="0"/>
            </a:rPr>
            <a:t>35 - Odbor</a:t>
          </a:r>
          <a:r>
            <a:rPr lang="cs-CZ" sz="1200" b="1" baseline="0">
              <a:solidFill>
                <a:schemeClr val="tx2">
                  <a:lumMod val="50000"/>
                </a:schemeClr>
              </a:solidFill>
              <a:latin typeface="+mn-lt"/>
              <a:cs typeface="Times New Roman" pitchFamily="18" charset="0"/>
            </a:rPr>
            <a:t> rozvoje a investic</a:t>
          </a:r>
          <a:endParaRPr lang="cs-CZ" sz="1200" b="1">
            <a:solidFill>
              <a:schemeClr val="tx2">
                <a:lumMod val="50000"/>
              </a:schemeClr>
            </a:solidFill>
            <a:latin typeface="+mn-lt"/>
            <a:cs typeface="Times New Roman" pitchFamily="18" charset="0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4</xdr:col>
      <xdr:colOff>1524001</xdr:colOff>
      <xdr:row>1</xdr:row>
      <xdr:rowOff>161925</xdr:rowOff>
    </xdr:to>
    <xdr:sp macro="" textlink="">
      <xdr:nvSpPr>
        <xdr:cNvPr id="2" name="Zaoblený obdélník 1"/>
        <xdr:cNvSpPr/>
      </xdr:nvSpPr>
      <xdr:spPr>
        <a:xfrm>
          <a:off x="266701" y="0"/>
          <a:ext cx="2667000" cy="361950"/>
        </a:xfrm>
        <a:prstGeom prst="roundRect">
          <a:avLst/>
        </a:prstGeom>
        <a:solidFill>
          <a:srgbClr val="B1F1EF"/>
        </a:solidFill>
        <a:ln cap="rnd" cmpd="sng"/>
        <a:effectLst>
          <a:innerShdw blurRad="63500" dist="50800" dir="2700000">
            <a:prstClr val="black">
              <a:alpha val="50000"/>
            </a:prstClr>
          </a:innerShdw>
        </a:effectLst>
        <a:scene3d>
          <a:camera prst="perspectiveAbove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cs-CZ" sz="1400" b="1">
              <a:solidFill>
                <a:schemeClr val="tx2">
                  <a:lumMod val="50000"/>
                </a:schemeClr>
              </a:solidFill>
              <a:latin typeface="+mn-lt"/>
              <a:cs typeface="Times New Roman" pitchFamily="18" charset="0"/>
            </a:rPr>
            <a:t>BĚŽNÉ VÝDAJE</a:t>
          </a:r>
        </a:p>
      </xdr:txBody>
    </xdr:sp>
    <xdr:clientData/>
  </xdr:twoCellAnchor>
  <xdr:twoCellAnchor>
    <xdr:from>
      <xdr:col>3</xdr:col>
      <xdr:colOff>390524</xdr:colOff>
      <xdr:row>3</xdr:row>
      <xdr:rowOff>47625</xdr:rowOff>
    </xdr:from>
    <xdr:to>
      <xdr:col>4</xdr:col>
      <xdr:colOff>2571749</xdr:colOff>
      <xdr:row>5</xdr:row>
      <xdr:rowOff>28575</xdr:rowOff>
    </xdr:to>
    <xdr:sp macro="" textlink="">
      <xdr:nvSpPr>
        <xdr:cNvPr id="3" name="Zaoblený obdélník 2"/>
        <xdr:cNvSpPr/>
      </xdr:nvSpPr>
      <xdr:spPr>
        <a:xfrm>
          <a:off x="1409699" y="647700"/>
          <a:ext cx="2447925" cy="381000"/>
        </a:xfrm>
        <a:prstGeom prst="roundRect">
          <a:avLst/>
        </a:prstGeom>
        <a:solidFill>
          <a:srgbClr val="FFC000"/>
        </a:solidFill>
        <a:ln>
          <a:solidFill>
            <a:srgbClr val="00B0F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44450" h="69850" prst="slope"/>
          <a:bevelB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cs-CZ" sz="1200" b="1">
              <a:solidFill>
                <a:schemeClr val="tx2">
                  <a:lumMod val="50000"/>
                </a:schemeClr>
              </a:solidFill>
              <a:latin typeface="+mn-lt"/>
              <a:cs typeface="Times New Roman" pitchFamily="18" charset="0"/>
            </a:rPr>
            <a:t>37 - Odbor úřad územního plánování a stavební úřad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4</xdr:col>
      <xdr:colOff>1524000</xdr:colOff>
      <xdr:row>23</xdr:row>
      <xdr:rowOff>85725</xdr:rowOff>
    </xdr:to>
    <xdr:sp macro="" textlink="">
      <xdr:nvSpPr>
        <xdr:cNvPr id="4" name="Zaoblený obdélník 3"/>
        <xdr:cNvSpPr/>
      </xdr:nvSpPr>
      <xdr:spPr>
        <a:xfrm>
          <a:off x="266700" y="4076700"/>
          <a:ext cx="2667000" cy="352425"/>
        </a:xfrm>
        <a:prstGeom prst="roundRect">
          <a:avLst/>
        </a:prstGeom>
        <a:solidFill>
          <a:srgbClr val="B1F1EF"/>
        </a:solidFill>
        <a:ln cap="rnd" cmpd="sng"/>
        <a:effectLst>
          <a:innerShdw blurRad="63500" dist="50800" dir="2700000">
            <a:prstClr val="black">
              <a:alpha val="50000"/>
            </a:prstClr>
          </a:innerShdw>
        </a:effectLst>
        <a:scene3d>
          <a:camera prst="perspectiveAbove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cs-CZ" sz="1400" b="1">
              <a:solidFill>
                <a:schemeClr val="tx2">
                  <a:lumMod val="50000"/>
                </a:schemeClr>
              </a:solidFill>
              <a:latin typeface="+mn-lt"/>
              <a:cs typeface="Times New Roman" pitchFamily="18" charset="0"/>
            </a:rPr>
            <a:t>KAPITÁLOVÉ VÝDAJE</a:t>
          </a:r>
        </a:p>
      </xdr:txBody>
    </xdr:sp>
    <xdr:clientData/>
  </xdr:twoCellAnchor>
  <xdr:twoCellAnchor>
    <xdr:from>
      <xdr:col>4</xdr:col>
      <xdr:colOff>0</xdr:colOff>
      <xdr:row>25</xdr:row>
      <xdr:rowOff>47625</xdr:rowOff>
    </xdr:from>
    <xdr:to>
      <xdr:col>5</xdr:col>
      <xdr:colOff>0</xdr:colOff>
      <xdr:row>27</xdr:row>
      <xdr:rowOff>161925</xdr:rowOff>
    </xdr:to>
    <xdr:sp macro="" textlink="">
      <xdr:nvSpPr>
        <xdr:cNvPr id="5" name="Zaoblený obdélník 4"/>
        <xdr:cNvSpPr/>
      </xdr:nvSpPr>
      <xdr:spPr>
        <a:xfrm>
          <a:off x="1409700" y="4657725"/>
          <a:ext cx="2447925" cy="514350"/>
        </a:xfrm>
        <a:prstGeom prst="roundRect">
          <a:avLst/>
        </a:prstGeom>
        <a:solidFill>
          <a:srgbClr val="FFC000"/>
        </a:solidFill>
        <a:ln>
          <a:solidFill>
            <a:srgbClr val="00B0F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44450" h="69850" prst="slope"/>
          <a:bevelB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cs-CZ" sz="1200" b="1">
              <a:solidFill>
                <a:schemeClr val="tx2">
                  <a:lumMod val="50000"/>
                </a:schemeClr>
              </a:solidFill>
              <a:latin typeface="+mn-lt"/>
              <a:cs typeface="Times New Roman" pitchFamily="18" charset="0"/>
            </a:rPr>
            <a:t>37 - Odbor úřad územního plánování a stavební úřad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161925</xdr:rowOff>
    </xdr:from>
    <xdr:to>
      <xdr:col>6</xdr:col>
      <xdr:colOff>314325</xdr:colOff>
      <xdr:row>61</xdr:row>
      <xdr:rowOff>111125</xdr:rowOff>
    </xdr:to>
    <xdr:graphicFrame macro="">
      <xdr:nvGraphicFramePr>
        <xdr:cNvPr id="2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0</xdr:row>
      <xdr:rowOff>0</xdr:rowOff>
    </xdr:from>
    <xdr:ext cx="7315200" cy="742950"/>
    <xdr:sp macro="" textlink="">
      <xdr:nvSpPr>
        <xdr:cNvPr id="3" name="Zaoblený obdélník 2"/>
        <xdr:cNvSpPr/>
      </xdr:nvSpPr>
      <xdr:spPr>
        <a:xfrm>
          <a:off x="0" y="0"/>
          <a:ext cx="7315200" cy="742950"/>
        </a:xfrm>
        <a:prstGeom prst="roundRect">
          <a:avLst/>
        </a:prstGeom>
        <a:gradFill flip="none" rotWithShape="1">
          <a:gsLst>
            <a:gs pos="0">
              <a:schemeClr val="accent1">
                <a:tint val="50000"/>
                <a:satMod val="300000"/>
              </a:schemeClr>
            </a:gs>
            <a:gs pos="35000">
              <a:schemeClr val="accent1">
                <a:tint val="37000"/>
                <a:satMod val="300000"/>
              </a:schemeClr>
            </a:gs>
            <a:gs pos="100000">
              <a:schemeClr val="accent1">
                <a:tint val="15000"/>
                <a:satMod val="350000"/>
              </a:schemeClr>
            </a:gs>
          </a:gsLst>
          <a:lin ang="16200000" scaled="1"/>
          <a:tileRect/>
        </a:gradFill>
        <a:ln w="57150">
          <a:solidFill>
            <a:schemeClr val="tx2"/>
          </a:solidFill>
        </a:ln>
        <a:effectLst>
          <a:glow rad="63500">
            <a:schemeClr val="accent1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ctr">
          <a:noAutofit/>
        </a:bodyPr>
        <a:lstStyle/>
        <a:p>
          <a:pPr algn="ctr"/>
          <a:r>
            <a:rPr lang="cs-CZ" sz="1600" b="1">
              <a:solidFill>
                <a:schemeClr val="tx2"/>
              </a:solidFill>
              <a:latin typeface="+mn-lt"/>
              <a:cs typeface="Times New Roman" pitchFamily="18" charset="0"/>
            </a:rPr>
            <a:t> </a:t>
          </a:r>
          <a:r>
            <a:rPr lang="cs-CZ" sz="1600" b="1">
              <a:solidFill>
                <a:schemeClr val="tx2"/>
              </a:solidFill>
              <a:latin typeface="+mj-lt"/>
              <a:cs typeface="Times New Roman" pitchFamily="18" charset="0"/>
            </a:rPr>
            <a:t>ROZPOČET MĚSTA KARLOVY VARY NA ROK 2014</a:t>
          </a:r>
        </a:p>
      </xdr:txBody>
    </xdr:sp>
    <xdr:clientData/>
  </xdr:oneCellAnchor>
  <xdr:twoCellAnchor>
    <xdr:from>
      <xdr:col>1</xdr:col>
      <xdr:colOff>47625</xdr:colOff>
      <xdr:row>38</xdr:row>
      <xdr:rowOff>53975</xdr:rowOff>
    </xdr:from>
    <xdr:to>
      <xdr:col>6</xdr:col>
      <xdr:colOff>171450</xdr:colOff>
      <xdr:row>60</xdr:row>
      <xdr:rowOff>15875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4</xdr:col>
      <xdr:colOff>1524001</xdr:colOff>
      <xdr:row>1</xdr:row>
      <xdr:rowOff>161925</xdr:rowOff>
    </xdr:to>
    <xdr:sp macro="" textlink="">
      <xdr:nvSpPr>
        <xdr:cNvPr id="2" name="Zaoblený obdélník 1"/>
        <xdr:cNvSpPr/>
      </xdr:nvSpPr>
      <xdr:spPr>
        <a:xfrm>
          <a:off x="314326" y="0"/>
          <a:ext cx="2667000" cy="361950"/>
        </a:xfrm>
        <a:prstGeom prst="roundRect">
          <a:avLst/>
        </a:prstGeom>
        <a:solidFill>
          <a:srgbClr val="B1F1EF"/>
        </a:solidFill>
        <a:ln cap="rnd" cmpd="sng"/>
        <a:effectLst>
          <a:innerShdw blurRad="63500" dist="50800" dir="2700000">
            <a:prstClr val="black">
              <a:alpha val="50000"/>
            </a:prstClr>
          </a:innerShdw>
        </a:effectLst>
        <a:scene3d>
          <a:camera prst="perspectiveAbove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cs-CZ" sz="1400" b="1">
              <a:solidFill>
                <a:schemeClr val="tx2">
                  <a:lumMod val="50000"/>
                </a:schemeClr>
              </a:solidFill>
              <a:latin typeface="+mn-lt"/>
              <a:cs typeface="Times New Roman" pitchFamily="18" charset="0"/>
            </a:rPr>
            <a:t>BĚŽNÉ VÝDAJE</a:t>
          </a:r>
        </a:p>
      </xdr:txBody>
    </xdr:sp>
    <xdr:clientData/>
  </xdr:twoCellAnchor>
  <xdr:twoCellAnchor>
    <xdr:from>
      <xdr:col>4</xdr:col>
      <xdr:colOff>0</xdr:colOff>
      <xdr:row>2</xdr:row>
      <xdr:rowOff>190500</xdr:rowOff>
    </xdr:from>
    <xdr:to>
      <xdr:col>4</xdr:col>
      <xdr:colOff>2438400</xdr:colOff>
      <xdr:row>4</xdr:row>
      <xdr:rowOff>142875</xdr:rowOff>
    </xdr:to>
    <xdr:sp macro="" textlink="">
      <xdr:nvSpPr>
        <xdr:cNvPr id="3" name="Zaoblený obdélník 2"/>
        <xdr:cNvSpPr/>
      </xdr:nvSpPr>
      <xdr:spPr>
        <a:xfrm>
          <a:off x="1457325" y="590550"/>
          <a:ext cx="2438400" cy="352425"/>
        </a:xfrm>
        <a:prstGeom prst="roundRect">
          <a:avLst/>
        </a:prstGeom>
        <a:solidFill>
          <a:srgbClr val="FFC000"/>
        </a:solidFill>
        <a:ln>
          <a:solidFill>
            <a:srgbClr val="00B0F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44450" h="69850" prst="slope"/>
          <a:bevelB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cs-CZ" sz="1200" b="1">
              <a:solidFill>
                <a:schemeClr val="tx2">
                  <a:lumMod val="50000"/>
                </a:schemeClr>
              </a:solidFill>
              <a:latin typeface="+mn-lt"/>
              <a:cs typeface="Times New Roman" pitchFamily="18" charset="0"/>
            </a:rPr>
            <a:t>39 - Odbor</a:t>
          </a:r>
          <a:r>
            <a:rPr lang="cs-CZ" sz="1200" b="1" baseline="0">
              <a:solidFill>
                <a:schemeClr val="tx2">
                  <a:lumMod val="50000"/>
                </a:schemeClr>
              </a:solidFill>
              <a:latin typeface="+mn-lt"/>
              <a:cs typeface="Times New Roman" pitchFamily="18" charset="0"/>
            </a:rPr>
            <a:t> majetku města</a:t>
          </a:r>
          <a:endParaRPr lang="cs-CZ" sz="1200" b="1">
            <a:solidFill>
              <a:schemeClr val="tx2">
                <a:lumMod val="50000"/>
              </a:schemeClr>
            </a:solidFill>
            <a:latin typeface="+mn-lt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0</xdr:colOff>
      <xdr:row>135</xdr:row>
      <xdr:rowOff>0</xdr:rowOff>
    </xdr:from>
    <xdr:to>
      <xdr:col>4</xdr:col>
      <xdr:colOff>1524000</xdr:colOff>
      <xdr:row>136</xdr:row>
      <xdr:rowOff>161925</xdr:rowOff>
    </xdr:to>
    <xdr:sp macro="" textlink="">
      <xdr:nvSpPr>
        <xdr:cNvPr id="4" name="Zaoblený obdélník 3"/>
        <xdr:cNvSpPr/>
      </xdr:nvSpPr>
      <xdr:spPr>
        <a:xfrm>
          <a:off x="314325" y="26679525"/>
          <a:ext cx="2667000" cy="361950"/>
        </a:xfrm>
        <a:prstGeom prst="roundRect">
          <a:avLst/>
        </a:prstGeom>
        <a:solidFill>
          <a:srgbClr val="B1F1EF"/>
        </a:solidFill>
        <a:ln cap="rnd" cmpd="sng"/>
        <a:effectLst>
          <a:innerShdw blurRad="63500" dist="50800" dir="2700000">
            <a:prstClr val="black">
              <a:alpha val="50000"/>
            </a:prstClr>
          </a:innerShdw>
        </a:effectLst>
        <a:scene3d>
          <a:camera prst="perspectiveAbove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cs-CZ" sz="1400" b="1">
              <a:solidFill>
                <a:schemeClr val="tx2">
                  <a:lumMod val="50000"/>
                </a:schemeClr>
              </a:solidFill>
              <a:latin typeface="+mn-lt"/>
              <a:cs typeface="Times New Roman" pitchFamily="18" charset="0"/>
            </a:rPr>
            <a:t>KAPITÁLOVÉ VÝDAJE</a:t>
          </a:r>
        </a:p>
      </xdr:txBody>
    </xdr:sp>
    <xdr:clientData/>
  </xdr:twoCellAnchor>
  <xdr:twoCellAnchor>
    <xdr:from>
      <xdr:col>3</xdr:col>
      <xdr:colOff>371475</xdr:colOff>
      <xdr:row>138</xdr:row>
      <xdr:rowOff>19050</xdr:rowOff>
    </xdr:from>
    <xdr:to>
      <xdr:col>5</xdr:col>
      <xdr:colOff>0</xdr:colOff>
      <xdr:row>139</xdr:row>
      <xdr:rowOff>171450</xdr:rowOff>
    </xdr:to>
    <xdr:sp macro="" textlink="">
      <xdr:nvSpPr>
        <xdr:cNvPr id="5" name="Zaoblený obdélník 4"/>
        <xdr:cNvSpPr/>
      </xdr:nvSpPr>
      <xdr:spPr>
        <a:xfrm>
          <a:off x="1447800" y="27127200"/>
          <a:ext cx="2457450" cy="352425"/>
        </a:xfrm>
        <a:prstGeom prst="roundRect">
          <a:avLst/>
        </a:prstGeom>
        <a:solidFill>
          <a:srgbClr val="FFC000"/>
        </a:solidFill>
        <a:ln>
          <a:solidFill>
            <a:srgbClr val="00B0F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44450" h="69850" prst="slope"/>
          <a:bevelB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cs-CZ" sz="1200" b="1">
              <a:solidFill>
                <a:schemeClr val="tx2">
                  <a:lumMod val="50000"/>
                </a:schemeClr>
              </a:solidFill>
              <a:latin typeface="+mn-lt"/>
              <a:cs typeface="Times New Roman" pitchFamily="18" charset="0"/>
            </a:rPr>
            <a:t>39 - Odbor</a:t>
          </a:r>
          <a:r>
            <a:rPr lang="cs-CZ" sz="1200" b="1" baseline="0">
              <a:solidFill>
                <a:schemeClr val="tx2">
                  <a:lumMod val="50000"/>
                </a:schemeClr>
              </a:solidFill>
              <a:latin typeface="+mn-lt"/>
              <a:cs typeface="Times New Roman" pitchFamily="18" charset="0"/>
            </a:rPr>
            <a:t> majetku města</a:t>
          </a:r>
          <a:endParaRPr lang="cs-CZ" sz="1200" b="1">
            <a:solidFill>
              <a:schemeClr val="tx2">
                <a:lumMod val="50000"/>
              </a:schemeClr>
            </a:solidFill>
            <a:latin typeface="+mn-lt"/>
            <a:cs typeface="Times New Roman" pitchFamily="18" charset="0"/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4</xdr:col>
      <xdr:colOff>1524001</xdr:colOff>
      <xdr:row>1</xdr:row>
      <xdr:rowOff>161925</xdr:rowOff>
    </xdr:to>
    <xdr:sp macro="" textlink="">
      <xdr:nvSpPr>
        <xdr:cNvPr id="2" name="Zaoblený obdélník 1"/>
        <xdr:cNvSpPr/>
      </xdr:nvSpPr>
      <xdr:spPr>
        <a:xfrm>
          <a:off x="266701" y="0"/>
          <a:ext cx="2667000" cy="361950"/>
        </a:xfrm>
        <a:prstGeom prst="roundRect">
          <a:avLst/>
        </a:prstGeom>
        <a:solidFill>
          <a:srgbClr val="B1F1EF"/>
        </a:solidFill>
        <a:ln cap="rnd" cmpd="sng"/>
        <a:effectLst>
          <a:innerShdw blurRad="63500" dist="50800" dir="2700000">
            <a:prstClr val="black">
              <a:alpha val="50000"/>
            </a:prstClr>
          </a:innerShdw>
        </a:effectLst>
        <a:scene3d>
          <a:camera prst="perspectiveAbove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cs-CZ" sz="1400" b="1">
              <a:solidFill>
                <a:schemeClr val="tx2">
                  <a:lumMod val="50000"/>
                </a:schemeClr>
              </a:solidFill>
              <a:latin typeface="+mn-lt"/>
              <a:cs typeface="Times New Roman" pitchFamily="18" charset="0"/>
            </a:rPr>
            <a:t>BĚŽNÉ VÝDAJE</a:t>
          </a:r>
        </a:p>
      </xdr:txBody>
    </xdr:sp>
    <xdr:clientData/>
  </xdr:twoCellAnchor>
  <xdr:twoCellAnchor>
    <xdr:from>
      <xdr:col>4</xdr:col>
      <xdr:colOff>9525</xdr:colOff>
      <xdr:row>3</xdr:row>
      <xdr:rowOff>28575</xdr:rowOff>
    </xdr:from>
    <xdr:to>
      <xdr:col>5</xdr:col>
      <xdr:colOff>0</xdr:colOff>
      <xdr:row>4</xdr:row>
      <xdr:rowOff>180975</xdr:rowOff>
    </xdr:to>
    <xdr:sp macro="" textlink="">
      <xdr:nvSpPr>
        <xdr:cNvPr id="3" name="Zaoblený obdélník 2"/>
        <xdr:cNvSpPr/>
      </xdr:nvSpPr>
      <xdr:spPr>
        <a:xfrm>
          <a:off x="1419225" y="628650"/>
          <a:ext cx="2438400" cy="352425"/>
        </a:xfrm>
        <a:prstGeom prst="roundRect">
          <a:avLst/>
        </a:prstGeom>
        <a:solidFill>
          <a:srgbClr val="FFC000"/>
        </a:solidFill>
        <a:ln>
          <a:solidFill>
            <a:srgbClr val="00B0F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44450" h="69850" prst="slope"/>
          <a:bevelB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cs-CZ" sz="1200" b="1">
              <a:solidFill>
                <a:schemeClr val="tx2">
                  <a:lumMod val="50000"/>
                </a:schemeClr>
              </a:solidFill>
              <a:latin typeface="+mn-lt"/>
            </a:rPr>
            <a:t>41 - Odbor</a:t>
          </a:r>
          <a:r>
            <a:rPr lang="cs-CZ" sz="1200" b="1" baseline="0">
              <a:solidFill>
                <a:schemeClr val="tx2">
                  <a:lumMod val="50000"/>
                </a:schemeClr>
              </a:solidFill>
              <a:latin typeface="+mn-lt"/>
            </a:rPr>
            <a:t> financí a </a:t>
          </a:r>
          <a:r>
            <a:rPr lang="cs-CZ" sz="1200" b="1" baseline="0">
              <a:solidFill>
                <a:schemeClr val="tx2">
                  <a:lumMod val="50000"/>
                </a:schemeClr>
              </a:solidFill>
              <a:latin typeface="+mn-lt"/>
              <a:cs typeface="Times New Roman" pitchFamily="18" charset="0"/>
            </a:rPr>
            <a:t>ekonomiky</a:t>
          </a:r>
          <a:endParaRPr lang="cs-CZ" sz="1200" b="1">
            <a:solidFill>
              <a:schemeClr val="tx2">
                <a:lumMod val="50000"/>
              </a:schemeClr>
            </a:solidFill>
            <a:latin typeface="+mn-lt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4</xdr:col>
      <xdr:colOff>1524000</xdr:colOff>
      <xdr:row>39</xdr:row>
      <xdr:rowOff>161925</xdr:rowOff>
    </xdr:to>
    <xdr:sp macro="" textlink="">
      <xdr:nvSpPr>
        <xdr:cNvPr id="4" name="Zaoblený obdélník 3"/>
        <xdr:cNvSpPr/>
      </xdr:nvSpPr>
      <xdr:spPr>
        <a:xfrm>
          <a:off x="266700" y="7477125"/>
          <a:ext cx="2667000" cy="361950"/>
        </a:xfrm>
        <a:prstGeom prst="roundRect">
          <a:avLst/>
        </a:prstGeom>
        <a:solidFill>
          <a:srgbClr val="B1F1EF"/>
        </a:solidFill>
        <a:ln cap="rnd" cmpd="sng"/>
        <a:effectLst>
          <a:innerShdw blurRad="63500" dist="50800" dir="2700000">
            <a:prstClr val="black">
              <a:alpha val="50000"/>
            </a:prstClr>
          </a:innerShdw>
        </a:effectLst>
        <a:scene3d>
          <a:camera prst="perspectiveAbove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cs-CZ" sz="1400" b="1">
              <a:solidFill>
                <a:schemeClr val="tx2">
                  <a:lumMod val="50000"/>
                </a:schemeClr>
              </a:solidFill>
              <a:latin typeface="+mn-lt"/>
              <a:cs typeface="Times New Roman" pitchFamily="18" charset="0"/>
            </a:rPr>
            <a:t>KAPITÁLOVÉ VÝDAJE</a:t>
          </a:r>
        </a:p>
      </xdr:txBody>
    </xdr:sp>
    <xdr:clientData/>
  </xdr:twoCellAnchor>
  <xdr:twoCellAnchor>
    <xdr:from>
      <xdr:col>4</xdr:col>
      <xdr:colOff>0</xdr:colOff>
      <xdr:row>41</xdr:row>
      <xdr:rowOff>28575</xdr:rowOff>
    </xdr:from>
    <xdr:to>
      <xdr:col>4</xdr:col>
      <xdr:colOff>2438400</xdr:colOff>
      <xdr:row>43</xdr:row>
      <xdr:rowOff>0</xdr:rowOff>
    </xdr:to>
    <xdr:sp macro="" textlink="">
      <xdr:nvSpPr>
        <xdr:cNvPr id="5" name="Zaoblený obdélník 4"/>
        <xdr:cNvSpPr/>
      </xdr:nvSpPr>
      <xdr:spPr>
        <a:xfrm>
          <a:off x="1409700" y="8105775"/>
          <a:ext cx="2438400" cy="371475"/>
        </a:xfrm>
        <a:prstGeom prst="roundRect">
          <a:avLst/>
        </a:prstGeom>
        <a:solidFill>
          <a:srgbClr val="FFC000"/>
        </a:solidFill>
        <a:ln>
          <a:solidFill>
            <a:srgbClr val="00B0F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44450" h="69850" prst="slope"/>
          <a:bevelB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cs-CZ" sz="1200" b="1">
              <a:solidFill>
                <a:schemeClr val="tx2">
                  <a:lumMod val="50000"/>
                </a:schemeClr>
              </a:solidFill>
              <a:latin typeface="+mn-lt"/>
            </a:rPr>
            <a:t>41 - Odbor</a:t>
          </a:r>
          <a:r>
            <a:rPr lang="cs-CZ" sz="1200" b="1" baseline="0">
              <a:solidFill>
                <a:schemeClr val="tx2">
                  <a:lumMod val="50000"/>
                </a:schemeClr>
              </a:solidFill>
              <a:latin typeface="+mn-lt"/>
            </a:rPr>
            <a:t> financí a </a:t>
          </a:r>
          <a:r>
            <a:rPr lang="cs-CZ" sz="1200" b="1" baseline="0">
              <a:solidFill>
                <a:schemeClr val="tx2">
                  <a:lumMod val="50000"/>
                </a:schemeClr>
              </a:solidFill>
              <a:latin typeface="+mn-lt"/>
              <a:cs typeface="Times New Roman" pitchFamily="18" charset="0"/>
            </a:rPr>
            <a:t>ekonomiky</a:t>
          </a:r>
          <a:endParaRPr lang="cs-CZ" sz="1200" b="1">
            <a:solidFill>
              <a:schemeClr val="tx2">
                <a:lumMod val="50000"/>
              </a:schemeClr>
            </a:solidFill>
            <a:latin typeface="+mn-lt"/>
            <a:cs typeface="Times New Roman" pitchFamily="18" charset="0"/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4</xdr:col>
      <xdr:colOff>1524001</xdr:colOff>
      <xdr:row>1</xdr:row>
      <xdr:rowOff>161925</xdr:rowOff>
    </xdr:to>
    <xdr:sp macro="" textlink="">
      <xdr:nvSpPr>
        <xdr:cNvPr id="2" name="Zaoblený obdélník 1"/>
        <xdr:cNvSpPr/>
      </xdr:nvSpPr>
      <xdr:spPr>
        <a:xfrm>
          <a:off x="371476" y="0"/>
          <a:ext cx="2667000" cy="361950"/>
        </a:xfrm>
        <a:prstGeom prst="roundRect">
          <a:avLst/>
        </a:prstGeom>
        <a:solidFill>
          <a:srgbClr val="B1F1EF"/>
        </a:solidFill>
        <a:ln cap="rnd" cmpd="sng"/>
        <a:effectLst>
          <a:innerShdw blurRad="63500" dist="50800" dir="2700000">
            <a:prstClr val="black">
              <a:alpha val="50000"/>
            </a:prstClr>
          </a:innerShdw>
        </a:effectLst>
        <a:scene3d>
          <a:camera prst="perspectiveAbove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cs-CZ" sz="1400" b="1">
              <a:solidFill>
                <a:schemeClr val="tx2">
                  <a:lumMod val="50000"/>
                </a:schemeClr>
              </a:solidFill>
              <a:latin typeface="+mn-lt"/>
              <a:cs typeface="Times New Roman" pitchFamily="18" charset="0"/>
            </a:rPr>
            <a:t>BĚŽNÉ VÝDAJE</a:t>
          </a:r>
        </a:p>
      </xdr:txBody>
    </xdr:sp>
    <xdr:clientData/>
  </xdr:twoCellAnchor>
  <xdr:twoCellAnchor>
    <xdr:from>
      <xdr:col>4</xdr:col>
      <xdr:colOff>66675</xdr:colOff>
      <xdr:row>3</xdr:row>
      <xdr:rowOff>38100</xdr:rowOff>
    </xdr:from>
    <xdr:to>
      <xdr:col>4</xdr:col>
      <xdr:colOff>2505075</xdr:colOff>
      <xdr:row>4</xdr:row>
      <xdr:rowOff>190500</xdr:rowOff>
    </xdr:to>
    <xdr:sp macro="" textlink="">
      <xdr:nvSpPr>
        <xdr:cNvPr id="3" name="Zaoblený obdélník 2"/>
        <xdr:cNvSpPr/>
      </xdr:nvSpPr>
      <xdr:spPr>
        <a:xfrm>
          <a:off x="1581150" y="638175"/>
          <a:ext cx="2438400" cy="352425"/>
        </a:xfrm>
        <a:prstGeom prst="roundRect">
          <a:avLst/>
        </a:prstGeom>
        <a:solidFill>
          <a:srgbClr val="FFC000"/>
        </a:solidFill>
        <a:ln>
          <a:solidFill>
            <a:srgbClr val="00B0F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44450" h="69850" prst="slope"/>
          <a:bevelB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cs-CZ" sz="1200" b="1">
              <a:solidFill>
                <a:schemeClr val="tx2">
                  <a:lumMod val="50000"/>
                </a:schemeClr>
              </a:solidFill>
              <a:latin typeface="+mn-lt"/>
            </a:rPr>
            <a:t>43 - Odbor</a:t>
          </a:r>
          <a:r>
            <a:rPr lang="cs-CZ" sz="1200" b="1" baseline="0">
              <a:solidFill>
                <a:schemeClr val="tx2">
                  <a:lumMod val="50000"/>
                </a:schemeClr>
              </a:solidFill>
              <a:latin typeface="+mn-lt"/>
            </a:rPr>
            <a:t> kancelář </a:t>
          </a:r>
          <a:r>
            <a:rPr lang="cs-CZ" sz="1200" b="1" baseline="0">
              <a:solidFill>
                <a:schemeClr val="tx2">
                  <a:lumMod val="50000"/>
                </a:schemeClr>
              </a:solidFill>
              <a:latin typeface="+mn-lt"/>
              <a:cs typeface="Times New Roman" pitchFamily="18" charset="0"/>
            </a:rPr>
            <a:t>primátora</a:t>
          </a:r>
          <a:endParaRPr lang="cs-CZ" sz="1200" b="1">
            <a:solidFill>
              <a:schemeClr val="tx2">
                <a:lumMod val="50000"/>
              </a:schemeClr>
            </a:solidFill>
            <a:latin typeface="+mn-lt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4</xdr:col>
      <xdr:colOff>1524000</xdr:colOff>
      <xdr:row>49</xdr:row>
      <xdr:rowOff>85725</xdr:rowOff>
    </xdr:to>
    <xdr:sp macro="" textlink="">
      <xdr:nvSpPr>
        <xdr:cNvPr id="4" name="Zaoblený obdélník 3"/>
        <xdr:cNvSpPr/>
      </xdr:nvSpPr>
      <xdr:spPr>
        <a:xfrm>
          <a:off x="266700" y="3943350"/>
          <a:ext cx="2667000" cy="352425"/>
        </a:xfrm>
        <a:prstGeom prst="roundRect">
          <a:avLst/>
        </a:prstGeom>
        <a:solidFill>
          <a:srgbClr val="B1F1EF"/>
        </a:solidFill>
        <a:ln cap="rnd" cmpd="sng"/>
        <a:effectLst>
          <a:innerShdw blurRad="63500" dist="50800" dir="2700000">
            <a:prstClr val="black">
              <a:alpha val="50000"/>
            </a:prstClr>
          </a:innerShdw>
        </a:effectLst>
        <a:scene3d>
          <a:camera prst="perspectiveAbove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cs-CZ" sz="1400" b="1">
              <a:solidFill>
                <a:schemeClr val="tx2">
                  <a:lumMod val="50000"/>
                </a:schemeClr>
              </a:solidFill>
              <a:latin typeface="+mn-lt"/>
              <a:cs typeface="Times New Roman" pitchFamily="18" charset="0"/>
            </a:rPr>
            <a:t>KAPITÁLOVÉ VÝDAJE</a:t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2438400</xdr:colOff>
      <xdr:row>53</xdr:row>
      <xdr:rowOff>85725</xdr:rowOff>
    </xdr:to>
    <xdr:sp macro="" textlink="">
      <xdr:nvSpPr>
        <xdr:cNvPr id="6" name="Zaoblený obdélník 5"/>
        <xdr:cNvSpPr/>
      </xdr:nvSpPr>
      <xdr:spPr>
        <a:xfrm>
          <a:off x="1514475" y="9144000"/>
          <a:ext cx="2438400" cy="352425"/>
        </a:xfrm>
        <a:prstGeom prst="roundRect">
          <a:avLst/>
        </a:prstGeom>
        <a:solidFill>
          <a:srgbClr val="FFC000"/>
        </a:solidFill>
        <a:ln>
          <a:solidFill>
            <a:srgbClr val="00B0F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44450" h="69850" prst="slope"/>
          <a:bevelB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cs-CZ" sz="1200" b="1">
              <a:solidFill>
                <a:schemeClr val="tx2">
                  <a:lumMod val="50000"/>
                </a:schemeClr>
              </a:solidFill>
              <a:latin typeface="+mn-lt"/>
            </a:rPr>
            <a:t>43 - Odbor</a:t>
          </a:r>
          <a:r>
            <a:rPr lang="cs-CZ" sz="1200" b="1" baseline="0">
              <a:solidFill>
                <a:schemeClr val="tx2">
                  <a:lumMod val="50000"/>
                </a:schemeClr>
              </a:solidFill>
              <a:latin typeface="+mn-lt"/>
            </a:rPr>
            <a:t> kancelář </a:t>
          </a:r>
          <a:r>
            <a:rPr lang="cs-CZ" sz="1200" b="1" baseline="0">
              <a:solidFill>
                <a:schemeClr val="tx2">
                  <a:lumMod val="50000"/>
                </a:schemeClr>
              </a:solidFill>
              <a:latin typeface="+mn-lt"/>
              <a:cs typeface="Times New Roman" pitchFamily="18" charset="0"/>
            </a:rPr>
            <a:t>primátora</a:t>
          </a:r>
          <a:endParaRPr lang="cs-CZ" sz="1200" b="1">
            <a:solidFill>
              <a:schemeClr val="tx2">
                <a:lumMod val="50000"/>
              </a:schemeClr>
            </a:solidFill>
            <a:latin typeface="+mn-lt"/>
            <a:cs typeface="Times New Roman" pitchFamily="18" charset="0"/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4</xdr:col>
      <xdr:colOff>1524001</xdr:colOff>
      <xdr:row>1</xdr:row>
      <xdr:rowOff>161925</xdr:rowOff>
    </xdr:to>
    <xdr:sp macro="" textlink="">
      <xdr:nvSpPr>
        <xdr:cNvPr id="2" name="Zaoblený obdélník 1"/>
        <xdr:cNvSpPr/>
      </xdr:nvSpPr>
      <xdr:spPr>
        <a:xfrm>
          <a:off x="371476" y="0"/>
          <a:ext cx="2667000" cy="361950"/>
        </a:xfrm>
        <a:prstGeom prst="roundRect">
          <a:avLst/>
        </a:prstGeom>
        <a:solidFill>
          <a:srgbClr val="B1F1EF"/>
        </a:solidFill>
        <a:ln cap="rnd" cmpd="sng"/>
        <a:effectLst>
          <a:innerShdw blurRad="63500" dist="50800" dir="2700000">
            <a:prstClr val="black">
              <a:alpha val="50000"/>
            </a:prstClr>
          </a:innerShdw>
        </a:effectLst>
        <a:scene3d>
          <a:camera prst="perspectiveAbove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cs-CZ" sz="1400" b="1">
              <a:solidFill>
                <a:schemeClr val="tx2">
                  <a:lumMod val="50000"/>
                </a:schemeClr>
              </a:solidFill>
              <a:latin typeface="+mn-lt"/>
            </a:rPr>
            <a:t>BĚŽNÉ VÝDAJE</a:t>
          </a:r>
        </a:p>
      </xdr:txBody>
    </xdr:sp>
    <xdr:clientData/>
  </xdr:twoCellAnchor>
  <xdr:twoCellAnchor>
    <xdr:from>
      <xdr:col>4</xdr:col>
      <xdr:colOff>0</xdr:colOff>
      <xdr:row>2</xdr:row>
      <xdr:rowOff>190500</xdr:rowOff>
    </xdr:from>
    <xdr:to>
      <xdr:col>4</xdr:col>
      <xdr:colOff>2438400</xdr:colOff>
      <xdr:row>4</xdr:row>
      <xdr:rowOff>142875</xdr:rowOff>
    </xdr:to>
    <xdr:sp macro="" textlink="">
      <xdr:nvSpPr>
        <xdr:cNvPr id="3" name="Zaoblený obdélník 2"/>
        <xdr:cNvSpPr/>
      </xdr:nvSpPr>
      <xdr:spPr>
        <a:xfrm>
          <a:off x="1514475" y="533400"/>
          <a:ext cx="2438400" cy="342900"/>
        </a:xfrm>
        <a:prstGeom prst="roundRect">
          <a:avLst/>
        </a:prstGeom>
        <a:solidFill>
          <a:srgbClr val="FFC000"/>
        </a:solidFill>
        <a:ln>
          <a:solidFill>
            <a:srgbClr val="00B0F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44450" h="69850" prst="slope"/>
          <a:bevelB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cs-CZ" sz="1200" b="1">
              <a:solidFill>
                <a:schemeClr val="tx2">
                  <a:lumMod val="50000"/>
                </a:schemeClr>
              </a:solidFill>
              <a:latin typeface="+mn-lt"/>
            </a:rPr>
            <a:t>70 - Odbor</a:t>
          </a:r>
          <a:r>
            <a:rPr lang="cs-CZ" sz="1200" b="1" baseline="0">
              <a:solidFill>
                <a:schemeClr val="tx2">
                  <a:lumMod val="50000"/>
                </a:schemeClr>
              </a:solidFill>
              <a:latin typeface="+mn-lt"/>
            </a:rPr>
            <a:t> technický</a:t>
          </a:r>
          <a:endParaRPr lang="cs-CZ" sz="1200" b="1">
            <a:solidFill>
              <a:schemeClr val="tx2">
                <a:lumMod val="50000"/>
              </a:schemeClr>
            </a:solidFill>
            <a:latin typeface="+mn-lt"/>
          </a:endParaRPr>
        </a:p>
      </xdr:txBody>
    </xdr:sp>
    <xdr:clientData/>
  </xdr:twoCellAnchor>
  <xdr:twoCellAnchor>
    <xdr:from>
      <xdr:col>1</xdr:col>
      <xdr:colOff>28575</xdr:colOff>
      <xdr:row>48</xdr:row>
      <xdr:rowOff>0</xdr:rowOff>
    </xdr:from>
    <xdr:to>
      <xdr:col>4</xdr:col>
      <xdr:colOff>1552575</xdr:colOff>
      <xdr:row>49</xdr:row>
      <xdr:rowOff>161925</xdr:rowOff>
    </xdr:to>
    <xdr:sp macro="" textlink="">
      <xdr:nvSpPr>
        <xdr:cNvPr id="4" name="Zaoblený obdélník 3"/>
        <xdr:cNvSpPr/>
      </xdr:nvSpPr>
      <xdr:spPr>
        <a:xfrm>
          <a:off x="400050" y="9610725"/>
          <a:ext cx="2667000" cy="361950"/>
        </a:xfrm>
        <a:prstGeom prst="roundRect">
          <a:avLst/>
        </a:prstGeom>
        <a:solidFill>
          <a:srgbClr val="B1F1EF"/>
        </a:solidFill>
        <a:ln cap="rnd" cmpd="sng"/>
        <a:effectLst>
          <a:innerShdw blurRad="63500" dist="50800" dir="2700000">
            <a:prstClr val="black">
              <a:alpha val="50000"/>
            </a:prstClr>
          </a:innerShdw>
        </a:effectLst>
        <a:scene3d>
          <a:camera prst="perspectiveAbove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cs-CZ" sz="1400" b="1">
              <a:solidFill>
                <a:schemeClr val="tx2">
                  <a:lumMod val="50000"/>
                </a:schemeClr>
              </a:solidFill>
              <a:latin typeface="+mn-lt"/>
            </a:rPr>
            <a:t>KAPITÁLOVÉ VÝDAJE</a:t>
          </a:r>
        </a:p>
      </xdr:txBody>
    </xdr:sp>
    <xdr:clientData/>
  </xdr:twoCellAnchor>
  <xdr:twoCellAnchor>
    <xdr:from>
      <xdr:col>4</xdr:col>
      <xdr:colOff>9525</xdr:colOff>
      <xdr:row>50</xdr:row>
      <xdr:rowOff>161925</xdr:rowOff>
    </xdr:from>
    <xdr:to>
      <xdr:col>5</xdr:col>
      <xdr:colOff>0</xdr:colOff>
      <xdr:row>52</xdr:row>
      <xdr:rowOff>114300</xdr:rowOff>
    </xdr:to>
    <xdr:sp macro="" textlink="">
      <xdr:nvSpPr>
        <xdr:cNvPr id="5" name="Zaoblený obdélník 4"/>
        <xdr:cNvSpPr/>
      </xdr:nvSpPr>
      <xdr:spPr>
        <a:xfrm>
          <a:off x="1524000" y="10134600"/>
          <a:ext cx="2438400" cy="314325"/>
        </a:xfrm>
        <a:prstGeom prst="roundRect">
          <a:avLst/>
        </a:prstGeom>
        <a:solidFill>
          <a:srgbClr val="FFC000"/>
        </a:solidFill>
        <a:ln>
          <a:solidFill>
            <a:srgbClr val="00B0F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44450" h="69850" prst="slope"/>
          <a:bevelB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cs-CZ" sz="1200" b="1">
              <a:solidFill>
                <a:schemeClr val="tx2">
                  <a:lumMod val="50000"/>
                </a:schemeClr>
              </a:solidFill>
              <a:latin typeface="+mn-lt"/>
            </a:rPr>
            <a:t>70 - Odbor</a:t>
          </a:r>
          <a:r>
            <a:rPr lang="cs-CZ" sz="1200" b="1" baseline="0">
              <a:solidFill>
                <a:schemeClr val="tx2">
                  <a:lumMod val="50000"/>
                </a:schemeClr>
              </a:solidFill>
              <a:latin typeface="+mn-lt"/>
            </a:rPr>
            <a:t> technický</a:t>
          </a:r>
          <a:endParaRPr lang="cs-CZ" sz="1200" b="1">
            <a:solidFill>
              <a:schemeClr val="tx2">
                <a:lumMod val="50000"/>
              </a:schemeClr>
            </a:solidFill>
            <a:latin typeface="+mn-lt"/>
          </a:endParaRP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0.21094</cdr:x>
      <cdr:y>0.0411</cdr:y>
    </cdr:from>
    <cdr:to>
      <cdr:x>0.83077</cdr:x>
      <cdr:y>0.08009</cdr:y>
    </cdr:to>
    <cdr:sp macro="" textlink="">
      <cdr:nvSpPr>
        <cdr:cNvPr id="3" name="Zaoblený obdélník 2"/>
        <cdr:cNvSpPr/>
      </cdr:nvSpPr>
      <cdr:spPr>
        <a:xfrm xmlns:a="http://schemas.openxmlformats.org/drawingml/2006/main">
          <a:off x="1528198" y="375293"/>
          <a:ext cx="4145286" cy="459790"/>
        </a:xfrm>
        <a:prstGeom xmlns:a="http://schemas.openxmlformats.org/drawingml/2006/main" prst="roundRect">
          <a:avLst/>
        </a:prstGeom>
        <a:gradFill xmlns:a="http://schemas.openxmlformats.org/drawingml/2006/main" flip="none" rotWithShape="1">
          <a:gsLst>
            <a:gs pos="0">
              <a:srgbClr val="4F81BD">
                <a:tint val="50000"/>
                <a:satMod val="300000"/>
              </a:srgbClr>
            </a:gs>
            <a:gs pos="35000">
              <a:srgbClr val="4F81BD">
                <a:tint val="37000"/>
                <a:satMod val="300000"/>
              </a:srgbClr>
            </a:gs>
            <a:gs pos="100000">
              <a:srgbClr val="4F81BD">
                <a:tint val="15000"/>
                <a:satMod val="350000"/>
              </a:srgbClr>
            </a:gs>
          </a:gsLst>
          <a:lin ang="16200000" scaled="1"/>
          <a:tileRect/>
        </a:gradFill>
        <a:ln xmlns:a="http://schemas.openxmlformats.org/drawingml/2006/main" w="57150" cap="flat" cmpd="sng" algn="ctr">
          <a:solidFill>
            <a:srgbClr val="1F497D"/>
          </a:solidFill>
          <a:prstDash val="solid"/>
        </a:ln>
        <a:effectLst xmlns:a="http://schemas.openxmlformats.org/drawingml/2006/main">
          <a:glow rad="63500">
            <a:srgbClr val="4F81BD">
              <a:satMod val="175000"/>
              <a:alpha val="40000"/>
            </a:srgbClr>
          </a:glow>
          <a:outerShdw blurRad="40000" dist="20000" dir="5400000" rotWithShape="0">
            <a:srgbClr val="000000">
              <a:alpha val="38000"/>
            </a:srgb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cs-CZ" sz="1600" b="1">
              <a:solidFill>
                <a:srgbClr val="1F497D"/>
              </a:solidFill>
              <a:latin typeface="Calibri"/>
              <a:cs typeface="Times New Roman" pitchFamily="18" charset="0"/>
            </a:rPr>
            <a:t> </a:t>
          </a:r>
          <a:r>
            <a:rPr lang="cs-CZ" sz="1600" b="1">
              <a:solidFill>
                <a:srgbClr val="1F497D"/>
              </a:solidFill>
              <a:latin typeface="Cambria"/>
              <a:cs typeface="Times New Roman" pitchFamily="18" charset="0"/>
            </a:rPr>
            <a:t>Příjmy 2014</a:t>
          </a:r>
        </a:p>
      </cdr:txBody>
    </cdr:sp>
  </cdr:relSizeAnchor>
  <cdr:relSizeAnchor xmlns:cdr="http://schemas.openxmlformats.org/drawingml/2006/chartDrawing">
    <cdr:from>
      <cdr:x>0.68474</cdr:x>
      <cdr:y>0.40448</cdr:y>
    </cdr:from>
    <cdr:to>
      <cdr:x>0.79566</cdr:x>
      <cdr:y>0.63045</cdr:y>
    </cdr:to>
    <cdr:sp macro="" textlink="">
      <cdr:nvSpPr>
        <cdr:cNvPr id="2" name="Zahnutá šipka doleva 1"/>
        <cdr:cNvSpPr/>
      </cdr:nvSpPr>
      <cdr:spPr>
        <a:xfrm xmlns:a="http://schemas.openxmlformats.org/drawingml/2006/main">
          <a:off x="4724187" y="4326551"/>
          <a:ext cx="765268" cy="2417149"/>
        </a:xfrm>
        <a:prstGeom xmlns:a="http://schemas.openxmlformats.org/drawingml/2006/main" prst="curvedLeftArrow">
          <a:avLst>
            <a:gd name="adj1" fmla="val 6932"/>
            <a:gd name="adj2" fmla="val 26608"/>
            <a:gd name="adj3" fmla="val 28312"/>
          </a:avLst>
        </a:prstGeom>
        <a:ln xmlns:a="http://schemas.openxmlformats.org/drawingml/2006/main" w="31750"/>
        <a:scene3d xmlns:a="http://schemas.openxmlformats.org/drawingml/2006/main">
          <a:camera prst="orthographicFront">
            <a:rot lat="20999999" lon="20999996" rev="300000"/>
          </a:camera>
          <a:lightRig rig="threePt" dir="t"/>
        </a:scene3d>
      </cdr:spPr>
      <cdr:style>
        <a:lnRef xmlns:a="http://schemas.openxmlformats.org/drawingml/2006/main" idx="1">
          <a:schemeClr val="accent2"/>
        </a:lnRef>
        <a:fillRef xmlns:a="http://schemas.openxmlformats.org/drawingml/2006/main" idx="2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0.33129</cdr:x>
      <cdr:y>0.02978</cdr:y>
    </cdr:from>
    <cdr:to>
      <cdr:x>0.67887</cdr:x>
      <cdr:y>0.1034</cdr:y>
    </cdr:to>
    <cdr:sp macro="" textlink="">
      <cdr:nvSpPr>
        <cdr:cNvPr id="2" name="Zaoblený obdélník 1"/>
        <cdr:cNvSpPr/>
      </cdr:nvSpPr>
      <cdr:spPr>
        <a:xfrm xmlns:a="http://schemas.openxmlformats.org/drawingml/2006/main">
          <a:off x="2425582" y="145642"/>
          <a:ext cx="2246045" cy="359355"/>
        </a:xfrm>
        <a:prstGeom xmlns:a="http://schemas.openxmlformats.org/drawingml/2006/main" prst="roundRect">
          <a:avLst/>
        </a:prstGeom>
        <a:gradFill xmlns:a="http://schemas.openxmlformats.org/drawingml/2006/main" flip="none" rotWithShape="1">
          <a:gsLst>
            <a:gs pos="0">
              <a:srgbClr val="4F81BD">
                <a:tint val="50000"/>
                <a:satMod val="300000"/>
              </a:srgbClr>
            </a:gs>
            <a:gs pos="35000">
              <a:srgbClr val="4F81BD">
                <a:tint val="37000"/>
                <a:satMod val="300000"/>
              </a:srgbClr>
            </a:gs>
            <a:gs pos="100000">
              <a:srgbClr val="4F81BD">
                <a:tint val="15000"/>
                <a:satMod val="350000"/>
              </a:srgbClr>
            </a:gs>
          </a:gsLst>
          <a:lin ang="16200000" scaled="1"/>
          <a:tileRect/>
        </a:gradFill>
        <a:ln xmlns:a="http://schemas.openxmlformats.org/drawingml/2006/main" w="57150" cap="flat" cmpd="sng" algn="ctr">
          <a:solidFill>
            <a:srgbClr val="1F497D"/>
          </a:solidFill>
          <a:prstDash val="solid"/>
        </a:ln>
        <a:effectLst xmlns:a="http://schemas.openxmlformats.org/drawingml/2006/main">
          <a:glow rad="63500">
            <a:srgbClr val="4F81BD">
              <a:satMod val="175000"/>
              <a:alpha val="40000"/>
            </a:srgbClr>
          </a:glow>
          <a:outerShdw blurRad="40000" dist="20000" dir="5400000" rotWithShape="0">
            <a:srgbClr val="000000">
              <a:alpha val="38000"/>
            </a:srgb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cs-CZ" sz="1600" b="1">
              <a:solidFill>
                <a:srgbClr val="1F497D"/>
              </a:solidFill>
              <a:latin typeface="Calibri"/>
              <a:cs typeface="Times New Roman" pitchFamily="18" charset="0"/>
            </a:rPr>
            <a:t>Daňové příjmy 2014</a:t>
          </a:r>
          <a:endParaRPr lang="cs-CZ" sz="1600" b="1">
            <a:solidFill>
              <a:srgbClr val="1F497D"/>
            </a:solidFill>
            <a:latin typeface="Cambria"/>
            <a:cs typeface="Times New Roman" pitchFamily="18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847725</xdr:colOff>
      <xdr:row>2</xdr:row>
      <xdr:rowOff>127000</xdr:rowOff>
    </xdr:to>
    <xdr:sp macro="" textlink="">
      <xdr:nvSpPr>
        <xdr:cNvPr id="2" name="Zaoblený obdélník 1"/>
        <xdr:cNvSpPr/>
      </xdr:nvSpPr>
      <xdr:spPr>
        <a:xfrm>
          <a:off x="0" y="0"/>
          <a:ext cx="4781550" cy="565150"/>
        </a:xfrm>
        <a:prstGeom prst="roundRect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2700000" scaled="1"/>
          <a:tileRect/>
        </a:gradFill>
        <a:ln w="38100">
          <a:solidFill>
            <a:schemeClr val="tx2">
              <a:lumMod val="50000"/>
              <a:alpha val="51000"/>
            </a:schemeClr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  <a:scene3d>
          <a:camera prst="orthographicFront"/>
          <a:lightRig rig="harsh" dir="t"/>
        </a:scene3d>
        <a:sp3d extrusionH="25400" contourW="19050" prstMaterial="translucentPowder">
          <a:bevelT/>
          <a:bevelB/>
          <a:contourClr>
            <a:schemeClr val="tx2">
              <a:lumMod val="60000"/>
              <a:lumOff val="40000"/>
            </a:schemeClr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cs-CZ" sz="1400" b="1">
              <a:solidFill>
                <a:sysClr val="windowText" lastClr="000000"/>
              </a:solidFill>
              <a:latin typeface="+mn-lt"/>
              <a:cs typeface="Times New Roman" pitchFamily="18" charset="0"/>
            </a:rPr>
            <a:t> </a:t>
          </a:r>
          <a:r>
            <a:rPr lang="cs-CZ" sz="1400" b="1">
              <a:solidFill>
                <a:schemeClr val="tx1"/>
              </a:solidFill>
              <a:latin typeface="+mj-lt"/>
              <a:cs typeface="Times New Roman" pitchFamily="18" charset="0"/>
            </a:rPr>
            <a:t>ROZPOČET STATUTÁRNÍHO MĚSTA KARLOVY VARY  N</a:t>
          </a:r>
          <a:r>
            <a:rPr lang="cs-CZ" sz="1400" b="1">
              <a:solidFill>
                <a:schemeClr val="tx1"/>
              </a:solidFill>
              <a:latin typeface="+mj-lt"/>
              <a:ea typeface="+mn-ea"/>
              <a:cs typeface="+mn-cs"/>
            </a:rPr>
            <a:t>A ROK</a:t>
          </a:r>
          <a:r>
            <a:rPr lang="cs-CZ" sz="1400" b="1" baseline="0">
              <a:solidFill>
                <a:schemeClr val="tx1"/>
              </a:solidFill>
              <a:latin typeface="+mj-lt"/>
              <a:ea typeface="+mn-ea"/>
              <a:cs typeface="+mn-cs"/>
            </a:rPr>
            <a:t> 2014</a:t>
          </a:r>
          <a:endParaRPr lang="cs-CZ" sz="1400" b="1">
            <a:solidFill>
              <a:sysClr val="windowText" lastClr="000000"/>
            </a:solidFill>
            <a:latin typeface="+mn-lt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3" name="Obdélník s odříznutým příčným rohem 2"/>
        <xdr:cNvSpPr/>
      </xdr:nvSpPr>
      <xdr:spPr>
        <a:xfrm>
          <a:off x="0" y="904875"/>
          <a:ext cx="2952750" cy="206375"/>
        </a:xfrm>
        <a:prstGeom prst="snip2DiagRect">
          <a:avLst/>
        </a:prstGeom>
        <a:solidFill>
          <a:schemeClr val="accent5">
            <a:lumMod val="60000"/>
            <a:lumOff val="40000"/>
          </a:schemeClr>
        </a:solidFill>
        <a:ln w="31750" cap="rnd">
          <a:solidFill>
            <a:schemeClr val="accent1">
              <a:lumMod val="75000"/>
              <a:alpha val="66000"/>
            </a:schemeClr>
          </a:solidFill>
        </a:ln>
        <a:effectLst/>
        <a:scene3d>
          <a:camera prst="orthographicFront"/>
          <a:lightRig rig="brightRoom" dir="t"/>
        </a:scene3d>
        <a:sp3d prstMaterial="flat">
          <a:bevelT/>
          <a:bevelB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 anchorCtr="1"/>
        <a:lstStyle/>
        <a:p>
          <a:pPr algn="ctr"/>
          <a:r>
            <a:rPr lang="cs-CZ" sz="1200" b="1">
              <a:solidFill>
                <a:sysClr val="windowText" lastClr="000000"/>
              </a:solidFill>
              <a:latin typeface="+mn-lt"/>
              <a:cs typeface="Times New Roman" pitchFamily="18" charset="0"/>
            </a:rPr>
            <a:t>CELKOVÉ VÝDAJE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2</xdr:col>
      <xdr:colOff>0</xdr:colOff>
      <xdr:row>31</xdr:row>
      <xdr:rowOff>2382</xdr:rowOff>
    </xdr:to>
    <xdr:sp macro="" textlink="">
      <xdr:nvSpPr>
        <xdr:cNvPr id="4" name="Obdélník s odříznutým příčným rohem 3"/>
        <xdr:cNvSpPr/>
      </xdr:nvSpPr>
      <xdr:spPr>
        <a:xfrm>
          <a:off x="0" y="6667500"/>
          <a:ext cx="2962275" cy="335757"/>
        </a:xfrm>
        <a:prstGeom prst="snip2DiagRect">
          <a:avLst/>
        </a:prstGeom>
        <a:solidFill>
          <a:schemeClr val="accent5">
            <a:lumMod val="60000"/>
            <a:lumOff val="40000"/>
          </a:schemeClr>
        </a:solidFill>
        <a:ln w="31750" cap="rnd">
          <a:solidFill>
            <a:schemeClr val="accent1">
              <a:lumMod val="75000"/>
              <a:alpha val="66000"/>
            </a:schemeClr>
          </a:solidFill>
        </a:ln>
        <a:effectLst/>
        <a:scene3d>
          <a:camera prst="orthographicFront"/>
          <a:lightRig rig="brightRoom" dir="t"/>
        </a:scene3d>
        <a:sp3d prstMaterial="flat">
          <a:bevelT/>
          <a:bevelB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 anchorCtr="1"/>
        <a:lstStyle/>
        <a:p>
          <a:pPr algn="ctr"/>
          <a:r>
            <a:rPr lang="cs-CZ" sz="1200" b="1">
              <a:solidFill>
                <a:sysClr val="windowText" lastClr="000000"/>
              </a:solidFill>
              <a:latin typeface="+mn-lt"/>
              <a:cs typeface="Times New Roman" pitchFamily="18" charset="0"/>
            </a:rPr>
            <a:t>BĚŽNÉ VÝDAJE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2</xdr:col>
      <xdr:colOff>0</xdr:colOff>
      <xdr:row>56</xdr:row>
      <xdr:rowOff>254000</xdr:rowOff>
    </xdr:to>
    <xdr:sp macro="" textlink="">
      <xdr:nvSpPr>
        <xdr:cNvPr id="5" name="Obdélník s odříznutým příčným rohem 4"/>
        <xdr:cNvSpPr/>
      </xdr:nvSpPr>
      <xdr:spPr>
        <a:xfrm>
          <a:off x="0" y="11207750"/>
          <a:ext cx="2952750" cy="254000"/>
        </a:xfrm>
        <a:prstGeom prst="snip2DiagRect">
          <a:avLst/>
        </a:prstGeom>
        <a:solidFill>
          <a:schemeClr val="accent5">
            <a:lumMod val="60000"/>
            <a:lumOff val="40000"/>
          </a:schemeClr>
        </a:solidFill>
        <a:ln w="31750" cap="rnd">
          <a:solidFill>
            <a:schemeClr val="accent1">
              <a:lumMod val="75000"/>
              <a:alpha val="66000"/>
            </a:schemeClr>
          </a:solidFill>
        </a:ln>
        <a:effectLst/>
        <a:scene3d>
          <a:camera prst="orthographicFront"/>
          <a:lightRig rig="brightRoom" dir="t"/>
        </a:scene3d>
        <a:sp3d prstMaterial="flat">
          <a:bevelT/>
          <a:bevelB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 anchorCtr="1"/>
        <a:lstStyle/>
        <a:p>
          <a:pPr algn="ctr"/>
          <a:r>
            <a:rPr lang="cs-CZ" sz="1200" b="1">
              <a:solidFill>
                <a:sysClr val="windowText" lastClr="000000"/>
              </a:solidFill>
              <a:latin typeface="+mn-lt"/>
              <a:cs typeface="Times New Roman" pitchFamily="18" charset="0"/>
            </a:rPr>
            <a:t>KAPITÁLOVÉ</a:t>
          </a:r>
          <a:r>
            <a:rPr lang="cs-CZ" sz="1200" b="1" baseline="0">
              <a:solidFill>
                <a:sysClr val="windowText" lastClr="000000"/>
              </a:solidFill>
              <a:latin typeface="+mn-lt"/>
              <a:cs typeface="Times New Roman" pitchFamily="18" charset="0"/>
            </a:rPr>
            <a:t> VÝDAJE</a:t>
          </a:r>
          <a:endParaRPr lang="cs-CZ" sz="1200" b="1">
            <a:solidFill>
              <a:sysClr val="windowText" lastClr="000000"/>
            </a:solidFill>
            <a:latin typeface="+mn-lt"/>
            <a:cs typeface="Times New Roman" pitchFamily="18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4</xdr:col>
      <xdr:colOff>1524001</xdr:colOff>
      <xdr:row>1</xdr:row>
      <xdr:rowOff>161925</xdr:rowOff>
    </xdr:to>
    <xdr:sp macro="" textlink="">
      <xdr:nvSpPr>
        <xdr:cNvPr id="2" name="Zaoblený obdélník 1"/>
        <xdr:cNvSpPr/>
      </xdr:nvSpPr>
      <xdr:spPr>
        <a:xfrm>
          <a:off x="609601" y="0"/>
          <a:ext cx="2438400" cy="352425"/>
        </a:xfrm>
        <a:prstGeom prst="roundRect">
          <a:avLst/>
        </a:prstGeom>
        <a:solidFill>
          <a:srgbClr val="B1F1EF"/>
        </a:solidFill>
        <a:ln cap="rnd" cmpd="sng"/>
        <a:effectLst>
          <a:innerShdw blurRad="63500" dist="50800" dir="2700000">
            <a:prstClr val="black">
              <a:alpha val="50000"/>
            </a:prstClr>
          </a:innerShdw>
        </a:effectLst>
        <a:scene3d>
          <a:camera prst="perspectiveAbove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cs-CZ" sz="1400" b="1">
              <a:solidFill>
                <a:schemeClr val="tx2">
                  <a:lumMod val="50000"/>
                </a:schemeClr>
              </a:solidFill>
              <a:latin typeface="+mn-lt"/>
              <a:cs typeface="Times New Roman" pitchFamily="18" charset="0"/>
            </a:rPr>
            <a:t>BĚŽNÉ VÝDAJE</a:t>
          </a:r>
        </a:p>
      </xdr:txBody>
    </xdr:sp>
    <xdr:clientData/>
  </xdr:twoCellAnchor>
  <xdr:twoCellAnchor>
    <xdr:from>
      <xdr:col>4</xdr:col>
      <xdr:colOff>0</xdr:colOff>
      <xdr:row>3</xdr:row>
      <xdr:rowOff>47625</xdr:rowOff>
    </xdr:from>
    <xdr:to>
      <xdr:col>4</xdr:col>
      <xdr:colOff>2438400</xdr:colOff>
      <xdr:row>5</xdr:row>
      <xdr:rowOff>0</xdr:rowOff>
    </xdr:to>
    <xdr:sp macro="" textlink="">
      <xdr:nvSpPr>
        <xdr:cNvPr id="3" name="Zaoblený obdélník 2"/>
        <xdr:cNvSpPr/>
      </xdr:nvSpPr>
      <xdr:spPr>
        <a:xfrm>
          <a:off x="2438400" y="619125"/>
          <a:ext cx="609600" cy="333375"/>
        </a:xfrm>
        <a:prstGeom prst="roundRect">
          <a:avLst/>
        </a:prstGeom>
        <a:solidFill>
          <a:srgbClr val="FFC000"/>
        </a:solidFill>
        <a:ln>
          <a:solidFill>
            <a:srgbClr val="00B0F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44450" h="69850" prst="slope"/>
          <a:bevelB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cs-CZ" sz="1200" b="1">
              <a:solidFill>
                <a:schemeClr val="tx2">
                  <a:lumMod val="50000"/>
                </a:schemeClr>
              </a:solidFill>
              <a:latin typeface="+mn-lt"/>
              <a:cs typeface="Times New Roman" pitchFamily="18" charset="0"/>
            </a:rPr>
            <a:t>01 -Odbor kancelář tajemníka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4</xdr:col>
      <xdr:colOff>1524000</xdr:colOff>
      <xdr:row>81</xdr:row>
      <xdr:rowOff>161925</xdr:rowOff>
    </xdr:to>
    <xdr:sp macro="" textlink="">
      <xdr:nvSpPr>
        <xdr:cNvPr id="4" name="Zaoblený obdélník 3"/>
        <xdr:cNvSpPr/>
      </xdr:nvSpPr>
      <xdr:spPr>
        <a:xfrm>
          <a:off x="609600" y="15811500"/>
          <a:ext cx="2438400" cy="352425"/>
        </a:xfrm>
        <a:prstGeom prst="roundRect">
          <a:avLst/>
        </a:prstGeom>
        <a:solidFill>
          <a:srgbClr val="B1F1EF"/>
        </a:solidFill>
        <a:ln cap="rnd" cmpd="sng"/>
        <a:effectLst>
          <a:innerShdw blurRad="63500" dist="50800" dir="2700000">
            <a:prstClr val="black">
              <a:alpha val="50000"/>
            </a:prstClr>
          </a:innerShdw>
        </a:effectLst>
        <a:scene3d>
          <a:camera prst="perspectiveAbove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cs-CZ" sz="1400" b="1">
              <a:solidFill>
                <a:schemeClr val="tx2">
                  <a:lumMod val="50000"/>
                </a:schemeClr>
              </a:solidFill>
              <a:latin typeface="+mn-lt"/>
              <a:cs typeface="Times New Roman" pitchFamily="18" charset="0"/>
            </a:rPr>
            <a:t>KAPITÁLOVÉ VÝDAJE</a:t>
          </a:r>
        </a:p>
      </xdr:txBody>
    </xdr:sp>
    <xdr:clientData/>
  </xdr:twoCellAnchor>
  <xdr:twoCellAnchor>
    <xdr:from>
      <xdr:col>4</xdr:col>
      <xdr:colOff>0</xdr:colOff>
      <xdr:row>83</xdr:row>
      <xdr:rowOff>0</xdr:rowOff>
    </xdr:from>
    <xdr:to>
      <xdr:col>4</xdr:col>
      <xdr:colOff>2438400</xdr:colOff>
      <xdr:row>84</xdr:row>
      <xdr:rowOff>152400</xdr:rowOff>
    </xdr:to>
    <xdr:sp macro="" textlink="">
      <xdr:nvSpPr>
        <xdr:cNvPr id="5" name="Zaoblený obdélník 4"/>
        <xdr:cNvSpPr/>
      </xdr:nvSpPr>
      <xdr:spPr>
        <a:xfrm>
          <a:off x="2438400" y="16383000"/>
          <a:ext cx="609600" cy="342900"/>
        </a:xfrm>
        <a:prstGeom prst="roundRect">
          <a:avLst/>
        </a:prstGeom>
        <a:solidFill>
          <a:srgbClr val="FFC000"/>
        </a:solidFill>
        <a:ln>
          <a:solidFill>
            <a:srgbClr val="00B0F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44450" h="69850" prst="slope"/>
          <a:bevelB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cs-CZ" sz="1200" b="1">
              <a:solidFill>
                <a:schemeClr val="tx2">
                  <a:lumMod val="50000"/>
                </a:schemeClr>
              </a:solidFill>
              <a:latin typeface="+mn-lt"/>
              <a:cs typeface="Times New Roman" pitchFamily="18" charset="0"/>
            </a:rPr>
            <a:t>01 -Odbor kancelář tajemníka</a:t>
          </a:r>
        </a:p>
      </xdr:txBody>
    </xdr:sp>
    <xdr:clientData/>
  </xdr:twoCellAnchor>
  <xdr:twoCellAnchor>
    <xdr:from>
      <xdr:col>1</xdr:col>
      <xdr:colOff>0</xdr:colOff>
      <xdr:row>98</xdr:row>
      <xdr:rowOff>0</xdr:rowOff>
    </xdr:from>
    <xdr:to>
      <xdr:col>4</xdr:col>
      <xdr:colOff>1524000</xdr:colOff>
      <xdr:row>99</xdr:row>
      <xdr:rowOff>161925</xdr:rowOff>
    </xdr:to>
    <xdr:sp macro="" textlink="">
      <xdr:nvSpPr>
        <xdr:cNvPr id="6" name="Zaoblený obdélník 5"/>
        <xdr:cNvSpPr/>
      </xdr:nvSpPr>
      <xdr:spPr>
        <a:xfrm>
          <a:off x="609600" y="19240500"/>
          <a:ext cx="2438400" cy="352425"/>
        </a:xfrm>
        <a:prstGeom prst="roundRect">
          <a:avLst/>
        </a:prstGeom>
        <a:solidFill>
          <a:srgbClr val="B1F1EF"/>
        </a:solidFill>
        <a:ln cap="rnd" cmpd="sng"/>
        <a:effectLst>
          <a:innerShdw blurRad="63500" dist="50800" dir="2700000">
            <a:prstClr val="black">
              <a:alpha val="50000"/>
            </a:prstClr>
          </a:innerShdw>
        </a:effectLst>
        <a:scene3d>
          <a:camera prst="perspectiveAbove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cs-CZ" sz="1400" b="1">
              <a:solidFill>
                <a:schemeClr val="tx2">
                  <a:lumMod val="50000"/>
                </a:schemeClr>
              </a:solidFill>
              <a:latin typeface="+mn-lt"/>
              <a:cs typeface="Times New Roman" pitchFamily="18" charset="0"/>
            </a:rPr>
            <a:t>KAPITÁLOVÉ VÝDAJE</a:t>
          </a:r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2438400</xdr:colOff>
      <xdr:row>102</xdr:row>
      <xdr:rowOff>152400</xdr:rowOff>
    </xdr:to>
    <xdr:sp macro="" textlink="">
      <xdr:nvSpPr>
        <xdr:cNvPr id="7" name="Zaoblený obdélník 6"/>
        <xdr:cNvSpPr/>
      </xdr:nvSpPr>
      <xdr:spPr>
        <a:xfrm>
          <a:off x="2438400" y="19812000"/>
          <a:ext cx="609600" cy="342900"/>
        </a:xfrm>
        <a:prstGeom prst="roundRect">
          <a:avLst/>
        </a:prstGeom>
        <a:solidFill>
          <a:srgbClr val="FFC000"/>
        </a:solidFill>
        <a:ln>
          <a:solidFill>
            <a:srgbClr val="00B0F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44450" h="69850" prst="slope"/>
          <a:bevelB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cs-CZ" sz="1200" b="1">
              <a:solidFill>
                <a:schemeClr val="tx2">
                  <a:lumMod val="50000"/>
                </a:schemeClr>
              </a:solidFill>
              <a:latin typeface="+mn-lt"/>
              <a:cs typeface="Times New Roman" pitchFamily="18" charset="0"/>
            </a:rPr>
            <a:t>01 -Odbor kancelář tajemníka</a:t>
          </a:r>
        </a:p>
      </xdr:txBody>
    </xdr:sp>
    <xdr:clientData/>
  </xdr:twoCellAnchor>
  <xdr:twoCellAnchor>
    <xdr:from>
      <xdr:col>4</xdr:col>
      <xdr:colOff>0</xdr:colOff>
      <xdr:row>100</xdr:row>
      <xdr:rowOff>190500</xdr:rowOff>
    </xdr:from>
    <xdr:to>
      <xdr:col>4</xdr:col>
      <xdr:colOff>2438400</xdr:colOff>
      <xdr:row>102</xdr:row>
      <xdr:rowOff>142875</xdr:rowOff>
    </xdr:to>
    <xdr:sp macro="" textlink="">
      <xdr:nvSpPr>
        <xdr:cNvPr id="8" name="Zaoblený obdélník 7"/>
        <xdr:cNvSpPr/>
      </xdr:nvSpPr>
      <xdr:spPr>
        <a:xfrm>
          <a:off x="2438400" y="19812000"/>
          <a:ext cx="609600" cy="333375"/>
        </a:xfrm>
        <a:prstGeom prst="roundRect">
          <a:avLst/>
        </a:prstGeom>
        <a:solidFill>
          <a:srgbClr val="FFC000"/>
        </a:solidFill>
        <a:ln>
          <a:solidFill>
            <a:srgbClr val="00B0F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44450" h="69850" prst="slope"/>
          <a:bevelB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cs-CZ" sz="1200" b="1">
              <a:solidFill>
                <a:schemeClr val="tx2">
                  <a:lumMod val="50000"/>
                </a:schemeClr>
              </a:solidFill>
              <a:latin typeface="+mn-lt"/>
              <a:cs typeface="Times New Roman" pitchFamily="18" charset="0"/>
            </a:rPr>
            <a:t>01 -Odbor kancelář tajemníka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4</xdr:col>
      <xdr:colOff>1524001</xdr:colOff>
      <xdr:row>1</xdr:row>
      <xdr:rowOff>161925</xdr:rowOff>
    </xdr:to>
    <xdr:sp macro="" textlink="">
      <xdr:nvSpPr>
        <xdr:cNvPr id="2" name="Zaoblený obdélník 1"/>
        <xdr:cNvSpPr/>
      </xdr:nvSpPr>
      <xdr:spPr>
        <a:xfrm>
          <a:off x="266701" y="0"/>
          <a:ext cx="2667000" cy="361950"/>
        </a:xfrm>
        <a:prstGeom prst="roundRect">
          <a:avLst/>
        </a:prstGeom>
        <a:solidFill>
          <a:srgbClr val="B1F1EF"/>
        </a:solidFill>
        <a:ln cap="rnd" cmpd="sng"/>
        <a:effectLst>
          <a:innerShdw blurRad="63500" dist="50800" dir="2700000">
            <a:prstClr val="black">
              <a:alpha val="50000"/>
            </a:prstClr>
          </a:innerShdw>
        </a:effectLst>
        <a:scene3d>
          <a:camera prst="perspectiveAbove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cs-CZ" sz="1400" b="1">
              <a:solidFill>
                <a:schemeClr val="tx2">
                  <a:lumMod val="50000"/>
                </a:schemeClr>
              </a:solidFill>
              <a:latin typeface="+mn-lt"/>
              <a:cs typeface="Times New Roman" pitchFamily="18" charset="0"/>
            </a:rPr>
            <a:t>BĚŽNÉ VÝDAJE</a:t>
          </a:r>
        </a:p>
      </xdr:txBody>
    </xdr:sp>
    <xdr:clientData/>
  </xdr:twoCellAnchor>
  <xdr:twoCellAnchor>
    <xdr:from>
      <xdr:col>4</xdr:col>
      <xdr:colOff>0</xdr:colOff>
      <xdr:row>2</xdr:row>
      <xdr:rowOff>190500</xdr:rowOff>
    </xdr:from>
    <xdr:to>
      <xdr:col>4</xdr:col>
      <xdr:colOff>2438400</xdr:colOff>
      <xdr:row>4</xdr:row>
      <xdr:rowOff>142875</xdr:rowOff>
    </xdr:to>
    <xdr:sp macro="" textlink="">
      <xdr:nvSpPr>
        <xdr:cNvPr id="3" name="Zaoblený obdélník 2"/>
        <xdr:cNvSpPr/>
      </xdr:nvSpPr>
      <xdr:spPr>
        <a:xfrm>
          <a:off x="1409700" y="590550"/>
          <a:ext cx="2438400" cy="352425"/>
        </a:xfrm>
        <a:prstGeom prst="roundRect">
          <a:avLst/>
        </a:prstGeom>
        <a:solidFill>
          <a:srgbClr val="FFC000"/>
        </a:solidFill>
        <a:ln>
          <a:solidFill>
            <a:srgbClr val="00B0F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44450" h="69850" prst="slope"/>
          <a:bevelB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cs-CZ" sz="1200" b="1">
              <a:solidFill>
                <a:schemeClr val="tx2">
                  <a:lumMod val="50000"/>
                </a:schemeClr>
              </a:solidFill>
              <a:latin typeface="+mn-lt"/>
              <a:cs typeface="Times New Roman" pitchFamily="18" charset="0"/>
            </a:rPr>
            <a:t>02 - Odbor</a:t>
          </a:r>
          <a:r>
            <a:rPr lang="cs-CZ" sz="1200" b="1" baseline="0">
              <a:solidFill>
                <a:schemeClr val="tx2">
                  <a:lumMod val="50000"/>
                </a:schemeClr>
              </a:solidFill>
              <a:latin typeface="+mn-lt"/>
              <a:cs typeface="Times New Roman" pitchFamily="18" charset="0"/>
            </a:rPr>
            <a:t> životního prostředí</a:t>
          </a:r>
          <a:endParaRPr lang="cs-CZ" sz="1200" b="1">
            <a:solidFill>
              <a:schemeClr val="tx2">
                <a:lumMod val="50000"/>
              </a:schemeClr>
            </a:solidFill>
            <a:latin typeface="+mn-lt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4</xdr:col>
      <xdr:colOff>1524000</xdr:colOff>
      <xdr:row>23</xdr:row>
      <xdr:rowOff>85725</xdr:rowOff>
    </xdr:to>
    <xdr:sp macro="" textlink="">
      <xdr:nvSpPr>
        <xdr:cNvPr id="4" name="Zaoblený obdélník 3"/>
        <xdr:cNvSpPr/>
      </xdr:nvSpPr>
      <xdr:spPr>
        <a:xfrm>
          <a:off x="266700" y="4343400"/>
          <a:ext cx="2667000" cy="352425"/>
        </a:xfrm>
        <a:prstGeom prst="roundRect">
          <a:avLst/>
        </a:prstGeom>
        <a:solidFill>
          <a:srgbClr val="B1F1EF"/>
        </a:solidFill>
        <a:ln cap="rnd" cmpd="sng"/>
        <a:effectLst>
          <a:innerShdw blurRad="63500" dist="50800" dir="2700000">
            <a:prstClr val="black">
              <a:alpha val="50000"/>
            </a:prstClr>
          </a:innerShdw>
        </a:effectLst>
        <a:scene3d>
          <a:camera prst="perspectiveAbove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cs-CZ" sz="1400" b="1">
              <a:solidFill>
                <a:schemeClr val="tx2">
                  <a:lumMod val="50000"/>
                </a:schemeClr>
              </a:solidFill>
              <a:latin typeface="+mn-lt"/>
              <a:cs typeface="Times New Roman" pitchFamily="18" charset="0"/>
            </a:rPr>
            <a:t>KAPITÁLOVÉ VÝDAJE</a:t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2428875</xdr:colOff>
      <xdr:row>27</xdr:row>
      <xdr:rowOff>38099</xdr:rowOff>
    </xdr:to>
    <xdr:sp macro="" textlink="">
      <xdr:nvSpPr>
        <xdr:cNvPr id="5" name="Zaoblený obdélník 4"/>
        <xdr:cNvSpPr/>
      </xdr:nvSpPr>
      <xdr:spPr>
        <a:xfrm>
          <a:off x="1409700" y="4476750"/>
          <a:ext cx="2428875" cy="304799"/>
        </a:xfrm>
        <a:prstGeom prst="roundRect">
          <a:avLst/>
        </a:prstGeom>
        <a:solidFill>
          <a:srgbClr val="FFC000"/>
        </a:solidFill>
        <a:ln>
          <a:solidFill>
            <a:srgbClr val="00B0F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44450" h="69850" prst="slope"/>
          <a:bevelB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cs-CZ" sz="1200" b="1">
              <a:solidFill>
                <a:schemeClr val="tx2">
                  <a:lumMod val="50000"/>
                </a:schemeClr>
              </a:solidFill>
              <a:latin typeface="+mn-lt"/>
              <a:cs typeface="Times New Roman" pitchFamily="18" charset="0"/>
            </a:rPr>
            <a:t>02 - Odbor</a:t>
          </a:r>
          <a:r>
            <a:rPr lang="cs-CZ" sz="1200" b="1" baseline="0">
              <a:solidFill>
                <a:schemeClr val="tx2">
                  <a:lumMod val="50000"/>
                </a:schemeClr>
              </a:solidFill>
              <a:latin typeface="+mn-lt"/>
              <a:cs typeface="Times New Roman" pitchFamily="18" charset="0"/>
            </a:rPr>
            <a:t> životního prostředí</a:t>
          </a:r>
          <a:endParaRPr lang="cs-CZ" sz="1200" b="1">
            <a:solidFill>
              <a:schemeClr val="tx2">
                <a:lumMod val="50000"/>
              </a:schemeClr>
            </a:solidFill>
            <a:latin typeface="+mn-lt"/>
            <a:cs typeface="Times New Roman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4</xdr:col>
      <xdr:colOff>1524001</xdr:colOff>
      <xdr:row>1</xdr:row>
      <xdr:rowOff>161925</xdr:rowOff>
    </xdr:to>
    <xdr:sp macro="" textlink="">
      <xdr:nvSpPr>
        <xdr:cNvPr id="2" name="Zaoblený obdélník 1"/>
        <xdr:cNvSpPr/>
      </xdr:nvSpPr>
      <xdr:spPr>
        <a:xfrm>
          <a:off x="266701" y="0"/>
          <a:ext cx="2667000" cy="361950"/>
        </a:xfrm>
        <a:prstGeom prst="roundRect">
          <a:avLst/>
        </a:prstGeom>
        <a:solidFill>
          <a:srgbClr val="B1F1EF"/>
        </a:solidFill>
        <a:ln cap="rnd" cmpd="sng"/>
        <a:effectLst>
          <a:innerShdw blurRad="63500" dist="50800" dir="2700000">
            <a:prstClr val="black">
              <a:alpha val="50000"/>
            </a:prstClr>
          </a:innerShdw>
        </a:effectLst>
        <a:scene3d>
          <a:camera prst="perspectiveAbove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cs-CZ" sz="1400" b="1">
              <a:solidFill>
                <a:schemeClr val="tx2">
                  <a:lumMod val="50000"/>
                </a:schemeClr>
              </a:solidFill>
              <a:latin typeface="+mn-lt"/>
              <a:cs typeface="Times New Roman" pitchFamily="18" charset="0"/>
            </a:rPr>
            <a:t>BĚŽNÉ VÝDAJE</a:t>
          </a:r>
        </a:p>
      </xdr:txBody>
    </xdr:sp>
    <xdr:clientData/>
  </xdr:twoCellAnchor>
  <xdr:twoCellAnchor>
    <xdr:from>
      <xdr:col>4</xdr:col>
      <xdr:colOff>1058</xdr:colOff>
      <xdr:row>3</xdr:row>
      <xdr:rowOff>5292</xdr:rowOff>
    </xdr:from>
    <xdr:to>
      <xdr:col>4</xdr:col>
      <xdr:colOff>2439458</xdr:colOff>
      <xdr:row>4</xdr:row>
      <xdr:rowOff>158751</xdr:rowOff>
    </xdr:to>
    <xdr:sp macro="" textlink="">
      <xdr:nvSpPr>
        <xdr:cNvPr id="3" name="Zaoblený obdélník 2"/>
        <xdr:cNvSpPr/>
      </xdr:nvSpPr>
      <xdr:spPr>
        <a:xfrm>
          <a:off x="1410758" y="605367"/>
          <a:ext cx="2438400" cy="353484"/>
        </a:xfrm>
        <a:prstGeom prst="roundRect">
          <a:avLst/>
        </a:prstGeom>
        <a:solidFill>
          <a:srgbClr val="FFC000"/>
        </a:solidFill>
        <a:ln>
          <a:solidFill>
            <a:srgbClr val="00B0F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44450" h="69850" prst="slope"/>
          <a:bevelB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cs-CZ" sz="1200" b="1">
              <a:solidFill>
                <a:schemeClr val="tx2">
                  <a:lumMod val="50000"/>
                </a:schemeClr>
              </a:solidFill>
              <a:latin typeface="+mn-lt"/>
              <a:cs typeface="Times New Roman" pitchFamily="18" charset="0"/>
            </a:rPr>
            <a:t>10 - Odbor</a:t>
          </a:r>
          <a:r>
            <a:rPr lang="cs-CZ" sz="1200" b="1" baseline="0">
              <a:solidFill>
                <a:schemeClr val="tx2">
                  <a:lumMod val="50000"/>
                </a:schemeClr>
              </a:solidFill>
              <a:latin typeface="+mn-lt"/>
              <a:cs typeface="Times New Roman" pitchFamily="18" charset="0"/>
            </a:rPr>
            <a:t> dopravy</a:t>
          </a:r>
          <a:endParaRPr lang="cs-CZ" sz="1200" b="1">
            <a:solidFill>
              <a:schemeClr val="tx2">
                <a:lumMod val="50000"/>
              </a:schemeClr>
            </a:solidFill>
            <a:latin typeface="+mn-lt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2438400</xdr:colOff>
      <xdr:row>23</xdr:row>
      <xdr:rowOff>152400</xdr:rowOff>
    </xdr:to>
    <xdr:sp macro="" textlink="">
      <xdr:nvSpPr>
        <xdr:cNvPr id="4" name="Zaoblený obdélník 3"/>
        <xdr:cNvSpPr/>
      </xdr:nvSpPr>
      <xdr:spPr>
        <a:xfrm>
          <a:off x="1409700" y="3276600"/>
          <a:ext cx="2438400" cy="0"/>
        </a:xfrm>
        <a:prstGeom prst="roundRect">
          <a:avLst/>
        </a:prstGeom>
        <a:solidFill>
          <a:srgbClr val="FFC000"/>
        </a:solidFill>
        <a:ln>
          <a:solidFill>
            <a:srgbClr val="00B0F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44450" h="69850" prst="slope"/>
          <a:bevelB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cs-CZ" sz="1200" b="1">
              <a:solidFill>
                <a:schemeClr val="tx2">
                  <a:lumMod val="50000"/>
                </a:schemeClr>
              </a:solidFill>
              <a:latin typeface="+mn-lt"/>
              <a:cs typeface="Times New Roman" pitchFamily="18" charset="0"/>
            </a:rPr>
            <a:t>10 - Odbor</a:t>
          </a:r>
          <a:r>
            <a:rPr lang="cs-CZ" sz="1200" b="1" baseline="0">
              <a:solidFill>
                <a:schemeClr val="tx2">
                  <a:lumMod val="50000"/>
                </a:schemeClr>
              </a:solidFill>
              <a:latin typeface="+mn-lt"/>
              <a:cs typeface="Times New Roman" pitchFamily="18" charset="0"/>
            </a:rPr>
            <a:t> dopravy</a:t>
          </a:r>
          <a:endParaRPr lang="cs-CZ" sz="1200" b="1">
            <a:solidFill>
              <a:schemeClr val="tx2">
                <a:lumMod val="50000"/>
              </a:schemeClr>
            </a:solidFill>
            <a:latin typeface="+mn-lt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9525</xdr:colOff>
      <xdr:row>18</xdr:row>
      <xdr:rowOff>104775</xdr:rowOff>
    </xdr:from>
    <xdr:to>
      <xdr:col>4</xdr:col>
      <xdr:colOff>1533525</xdr:colOff>
      <xdr:row>20</xdr:row>
      <xdr:rowOff>66675</xdr:rowOff>
    </xdr:to>
    <xdr:sp macro="" textlink="">
      <xdr:nvSpPr>
        <xdr:cNvPr id="5" name="Zaoblený obdélník 4"/>
        <xdr:cNvSpPr/>
      </xdr:nvSpPr>
      <xdr:spPr>
        <a:xfrm>
          <a:off x="276225" y="3276600"/>
          <a:ext cx="2667000" cy="0"/>
        </a:xfrm>
        <a:prstGeom prst="roundRect">
          <a:avLst/>
        </a:prstGeom>
        <a:solidFill>
          <a:srgbClr val="B1F1EF"/>
        </a:solidFill>
        <a:ln cap="rnd" cmpd="sng"/>
        <a:effectLst>
          <a:innerShdw blurRad="63500" dist="50800" dir="2700000">
            <a:prstClr val="black">
              <a:alpha val="50000"/>
            </a:prstClr>
          </a:innerShdw>
        </a:effectLst>
        <a:scene3d>
          <a:camera prst="perspectiveAbove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cs-CZ" sz="1400" b="1">
              <a:solidFill>
                <a:schemeClr val="tx2">
                  <a:lumMod val="50000"/>
                </a:schemeClr>
              </a:solidFill>
              <a:latin typeface="+mn-lt"/>
              <a:cs typeface="Times New Roman" pitchFamily="18" charset="0"/>
            </a:rPr>
            <a:t>KAPITÁLOVÉ VÝDAJE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4</xdr:col>
      <xdr:colOff>1524001</xdr:colOff>
      <xdr:row>1</xdr:row>
      <xdr:rowOff>161925</xdr:rowOff>
    </xdr:to>
    <xdr:sp macro="" textlink="">
      <xdr:nvSpPr>
        <xdr:cNvPr id="2" name="Zaoblený obdélník 1"/>
        <xdr:cNvSpPr/>
      </xdr:nvSpPr>
      <xdr:spPr>
        <a:xfrm>
          <a:off x="266701" y="0"/>
          <a:ext cx="2667000" cy="361950"/>
        </a:xfrm>
        <a:prstGeom prst="roundRect">
          <a:avLst/>
        </a:prstGeom>
        <a:solidFill>
          <a:srgbClr val="B1F1EF"/>
        </a:solidFill>
        <a:ln cap="rnd" cmpd="sng"/>
        <a:effectLst>
          <a:innerShdw blurRad="63500" dist="50800" dir="2700000">
            <a:prstClr val="black">
              <a:alpha val="50000"/>
            </a:prstClr>
          </a:innerShdw>
        </a:effectLst>
        <a:scene3d>
          <a:camera prst="perspectiveAbove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cs-CZ" sz="1400" b="1">
              <a:solidFill>
                <a:schemeClr val="tx2">
                  <a:lumMod val="50000"/>
                </a:schemeClr>
              </a:solidFill>
              <a:latin typeface="+mn-lt"/>
            </a:rPr>
            <a:t>BĚŽNÉ VÝDAJE</a:t>
          </a:r>
        </a:p>
      </xdr:txBody>
    </xdr:sp>
    <xdr:clientData/>
  </xdr:twoCellAnchor>
  <xdr:twoCellAnchor>
    <xdr:from>
      <xdr:col>3</xdr:col>
      <xdr:colOff>371475</xdr:colOff>
      <xdr:row>3</xdr:row>
      <xdr:rowOff>28575</xdr:rowOff>
    </xdr:from>
    <xdr:to>
      <xdr:col>4</xdr:col>
      <xdr:colOff>2428875</xdr:colOff>
      <xdr:row>4</xdr:row>
      <xdr:rowOff>180975</xdr:rowOff>
    </xdr:to>
    <xdr:sp macro="" textlink="">
      <xdr:nvSpPr>
        <xdr:cNvPr id="3" name="Zaoblený obdélník 2"/>
        <xdr:cNvSpPr/>
      </xdr:nvSpPr>
      <xdr:spPr>
        <a:xfrm>
          <a:off x="1400175" y="628650"/>
          <a:ext cx="2438400" cy="352425"/>
        </a:xfrm>
        <a:prstGeom prst="roundRect">
          <a:avLst/>
        </a:prstGeom>
        <a:solidFill>
          <a:srgbClr val="FFC000"/>
        </a:solidFill>
        <a:ln>
          <a:solidFill>
            <a:srgbClr val="00B0F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44450" h="69850" prst="slope"/>
          <a:bevelB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cs-CZ" sz="1200" b="1">
              <a:solidFill>
                <a:schemeClr val="tx2">
                  <a:lumMod val="50000"/>
                </a:schemeClr>
              </a:solidFill>
              <a:latin typeface="+mn-lt"/>
              <a:cs typeface="Times New Roman" pitchFamily="18" charset="0"/>
            </a:rPr>
            <a:t>12 - Odbor památkové péče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smutná" refreshedDate="41673.399001851853" createdVersion="3" refreshedVersion="3" minRefreshableVersion="3" recordCount="304">
  <cacheSource type="worksheet">
    <worksheetSource ref="A1:J305" sheet="Nové závazné ukazatele 2014"/>
  </cacheSource>
  <cacheFields count="10">
    <cacheField name="ORG" numFmtId="0">
      <sharedItems containsBlank="1" containsMixedTypes="1" containsNumber="1" minValue="1" maxValue="9540"/>
    </cacheField>
    <cacheField name="ODPA" numFmtId="0">
      <sharedItems containsBlank="1" containsMixedTypes="1" containsNumber="1" minValue="1014" maxValue="6223"/>
    </cacheField>
    <cacheField name="Oblast" numFmtId="0">
      <sharedItems count="11">
        <s v="veřejná správa a služby"/>
        <s v="bezpečnost a ochrana"/>
        <s v="ochrana životního prostředí"/>
        <s v="doprava"/>
        <s v="bydlení, komun.služby a úz. rozvoj"/>
        <s v="kultura"/>
        <s v="tělovýchova a zájmová činnost"/>
        <s v="hospodářství a průmysl"/>
        <s v="vzdělávání "/>
        <s v="sociální věci"/>
        <s v="zdravotnictví"/>
      </sharedItems>
    </cacheField>
    <cacheField name="ORJ" numFmtId="166">
      <sharedItems containsSemiMixedTypes="0" containsString="0" containsNumber="1" containsInteger="1" minValue="1" maxValue="70"/>
    </cacheField>
    <cacheField name="BV/KV" numFmtId="49">
      <sharedItems count="2">
        <s v="BV"/>
        <s v="KV"/>
      </sharedItems>
    </cacheField>
    <cacheField name="Název závazného ukazatele" numFmtId="0">
      <sharedItems/>
    </cacheField>
    <cacheField name="Schválený rozpočet 2013" numFmtId="3">
      <sharedItems containsBlank="1" containsMixedTypes="1" containsNumber="1" minValue="0" maxValue="122570"/>
    </cacheField>
    <cacheField name="Upravený rozpočet 2013" numFmtId="3">
      <sharedItems containsBlank="1" containsMixedTypes="1" containsNumber="1" minValue="0" maxValue="125370"/>
    </cacheField>
    <cacheField name="Schválený rozpočet 2014 v tis. Kč" numFmtId="170">
      <sharedItems containsString="0" containsBlank="1" containsNumber="1" minValue="0" maxValue="130295"/>
    </cacheField>
    <cacheField name="Upravený rozpočet 2014 v tis. Kč" numFmtId="170">
      <sharedItems containsString="0" containsBlank="1" containsNumber="1" minValue="0" maxValue="130295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4">
  <r>
    <n v="1"/>
    <n v="6112"/>
    <x v="0"/>
    <n v="1"/>
    <x v="0"/>
    <s v="místní zastupitelské orgány"/>
    <n v="7445"/>
    <n v="7445"/>
    <n v="8425"/>
    <n v="8425"/>
  </r>
  <r>
    <s v="0001,1002"/>
    <n v="6171"/>
    <x v="0"/>
    <n v="1"/>
    <x v="0"/>
    <s v="platy zaměstnanců a výdaje související"/>
    <n v="122570"/>
    <n v="125370"/>
    <n v="130295"/>
    <n v="130295"/>
  </r>
  <r>
    <n v="1"/>
    <n v="6171"/>
    <x v="0"/>
    <n v="1"/>
    <x v="0"/>
    <s v="agenda sociálně právní ochrany dětí (ÚZ 13011)"/>
    <n v="0"/>
    <n v="3650"/>
    <n v="0"/>
    <n v="0"/>
  </r>
  <r>
    <n v="1"/>
    <n v="6171"/>
    <x v="0"/>
    <n v="1"/>
    <x v="0"/>
    <s v="výkon jednotných kontaktních míst (ÚZ 22005)"/>
    <n v="0"/>
    <n v="240"/>
    <n v="0"/>
    <n v="0"/>
  </r>
  <r>
    <n v="1"/>
    <n v="6171"/>
    <x v="0"/>
    <n v="1"/>
    <x v="0"/>
    <s v="příspěvek na koordinátory VS (ÚZ 13101)"/>
    <n v="0"/>
    <n v="65.555250000000001"/>
    <n v="0"/>
    <n v="0"/>
  </r>
  <r>
    <n v="1"/>
    <n v="6171"/>
    <x v="0"/>
    <n v="1"/>
    <x v="0"/>
    <s v="příspěvek na koordinátory VS (ÚZ 13234)"/>
    <n v="0"/>
    <n v="144.62174999999999"/>
    <n v="0"/>
    <n v="0"/>
  </r>
  <r>
    <s v="0274,0280"/>
    <n v="5512"/>
    <x v="1"/>
    <n v="1"/>
    <x v="0"/>
    <s v="požární ochrana - DHS"/>
    <n v="925"/>
    <n v="941"/>
    <n v="899"/>
    <n v="899"/>
  </r>
  <r>
    <n v="277"/>
    <n v="5511"/>
    <x v="1"/>
    <n v="1"/>
    <x v="0"/>
    <s v="neinv.tr. - Hasičský záchranný sbor"/>
    <n v="0"/>
    <n v="150"/>
    <n v="0"/>
    <n v="0"/>
  </r>
  <r>
    <n v="277"/>
    <n v="5511"/>
    <x v="1"/>
    <n v="1"/>
    <x v="1"/>
    <s v="inv.tr. - Hasičský záchranný sbor"/>
    <n v="1400"/>
    <n v="1250"/>
    <n v="0"/>
    <n v="0"/>
  </r>
  <r>
    <n v="4310"/>
    <s v="52xx"/>
    <x v="1"/>
    <n v="1"/>
    <x v="0"/>
    <s v="opatření pro krizové stavy, ochrana obyvatel"/>
    <n v="190"/>
    <n v="590"/>
    <n v="368"/>
    <n v="368"/>
  </r>
  <r>
    <n v="225"/>
    <s v="37xx,1036"/>
    <x v="2"/>
    <n v="2"/>
    <x v="0"/>
    <s v="ostatní činnost OŽP"/>
    <n v="455"/>
    <n v="735.29899999999998"/>
    <n v="320"/>
    <n v="320"/>
  </r>
  <r>
    <n v="225"/>
    <s v="36xx"/>
    <x v="2"/>
    <n v="2"/>
    <x v="0"/>
    <s v="výdaje z EKOFONDU (dle statutu EKOFONDU)"/>
    <n v="100"/>
    <n v="279.48"/>
    <n v="0"/>
    <n v="0"/>
  </r>
  <r>
    <n v="225"/>
    <n v="3716"/>
    <x v="2"/>
    <n v="2"/>
    <x v="1"/>
    <s v="imisní monitorovací stanice"/>
    <n v="2000"/>
    <n v="2000"/>
    <n v="0"/>
    <n v="0"/>
  </r>
  <r>
    <n v="270"/>
    <n v="6171"/>
    <x v="0"/>
    <n v="10"/>
    <x v="0"/>
    <s v="odbor dopravy"/>
    <n v="470"/>
    <n v="470"/>
    <n v="470"/>
    <n v="470"/>
  </r>
  <r>
    <n v="270"/>
    <n v="2223"/>
    <x v="3"/>
    <n v="10"/>
    <x v="0"/>
    <s v="neinv. transf.-BESIP-Centrum služ.pro siln.dopr."/>
    <n v="100"/>
    <n v="100"/>
    <n v="100"/>
    <n v="100"/>
  </r>
  <r>
    <n v="281"/>
    <n v="2221"/>
    <x v="3"/>
    <n v="10"/>
    <x v="0"/>
    <s v="dopravní obslužnost města - DPKV"/>
    <n v="69826"/>
    <n v="70077.861999999994"/>
    <n v="69829"/>
    <n v="69829"/>
  </r>
  <r>
    <n v="1200"/>
    <n v="6171"/>
    <x v="0"/>
    <n v="12"/>
    <x v="0"/>
    <s v="výdaje oddělení památkové péče"/>
    <n v="26"/>
    <n v="26"/>
    <n v="23"/>
    <n v="23"/>
  </r>
  <r>
    <n v="2863"/>
    <n v="3699"/>
    <x v="4"/>
    <n v="13"/>
    <x v="0"/>
    <s v="PRÁV - běžné výdaje"/>
    <n v="13953"/>
    <n v="35803"/>
    <n v="16071"/>
    <n v="41624"/>
  </r>
  <r>
    <n v="1710"/>
    <n v="6171"/>
    <x v="0"/>
    <n v="17"/>
    <x v="0"/>
    <s v="výkon činnosti jednotných kontaktních míst (UZ 22005)"/>
    <n v="0"/>
    <n v="60"/>
    <n v="0"/>
    <n v="0"/>
  </r>
  <r>
    <n v="297"/>
    <n v="6171"/>
    <x v="0"/>
    <n v="19"/>
    <x v="0"/>
    <s v="činnost místní správy I."/>
    <n v="13243"/>
    <n v="14850.35418"/>
    <n v="13224"/>
    <n v="13224"/>
  </r>
  <r>
    <n v="292"/>
    <n v="6171"/>
    <x v="0"/>
    <n v="19"/>
    <x v="0"/>
    <s v="činnost místní správy II."/>
    <n v="8635"/>
    <n v="8625.3150100000003"/>
    <n v="8147"/>
    <n v="9007"/>
  </r>
  <r>
    <n v="297"/>
    <n v="6171"/>
    <x v="0"/>
    <n v="19"/>
    <x v="1"/>
    <s v="OVV - stroje,přístroje, zařízení - vyvolávací systém, frankovací stroj"/>
    <n v="150"/>
    <n v="205"/>
    <n v="0"/>
    <n v="0"/>
  </r>
  <r>
    <n v="292"/>
    <n v="6171"/>
    <x v="0"/>
    <n v="19"/>
    <x v="1"/>
    <s v="OVV - dopravní prostředky"/>
    <n v="270"/>
    <n v="215"/>
    <n v="850"/>
    <n v="850"/>
  </r>
  <r>
    <n v="294"/>
    <n v="5311"/>
    <x v="1"/>
    <n v="20"/>
    <x v="0"/>
    <s v="bezpečnost a veřejný pořádek"/>
    <n v="40485"/>
    <n v="42274"/>
    <n v="42559"/>
    <n v="42559"/>
  </r>
  <r>
    <s v="0294,2010"/>
    <s v="6171,6310"/>
    <x v="0"/>
    <n v="20"/>
    <x v="0"/>
    <s v="činnost místní správy - ost. výdaje MP"/>
    <n v="761"/>
    <n v="823"/>
    <n v="1031"/>
    <n v="1031"/>
  </r>
  <r>
    <n v="294"/>
    <n v="5311"/>
    <x v="1"/>
    <n v="20"/>
    <x v="1"/>
    <s v="MP - stroje, přístroje, zařízení"/>
    <n v="200"/>
    <n v="200"/>
    <n v="250"/>
    <n v="250"/>
  </r>
  <r>
    <n v="294"/>
    <n v="5311"/>
    <x v="1"/>
    <n v="20"/>
    <x v="1"/>
    <s v="MP - dopravní prostředky"/>
    <n v="0"/>
    <n v="0"/>
    <n v="500"/>
    <n v="500"/>
  </r>
  <r>
    <n v="291"/>
    <n v="6171"/>
    <x v="0"/>
    <n v="21"/>
    <x v="0"/>
    <s v="OIT - běžné výdaje"/>
    <n v="22458"/>
    <n v="25345.209209999997"/>
    <n v="20883.652000000002"/>
    <n v="20985.292000000001"/>
  </r>
  <r>
    <n v="291"/>
    <n v="6171"/>
    <x v="0"/>
    <n v="21"/>
    <x v="1"/>
    <s v="dof. - software pro MM"/>
    <m/>
    <m/>
    <n v="0"/>
    <n v="1406.4659999999999"/>
  </r>
  <r>
    <n v="291"/>
    <n v="6171"/>
    <x v="0"/>
    <n v="21"/>
    <x v="1"/>
    <s v="software pro MM"/>
    <n v="2100"/>
    <n v="2100"/>
    <n v="600"/>
    <n v="600"/>
  </r>
  <r>
    <n v="291"/>
    <n v="6171"/>
    <x v="0"/>
    <n v="21"/>
    <x v="1"/>
    <s v="software (ekonomický inf. systém)"/>
    <n v="800"/>
    <n v="1000"/>
    <n v="200"/>
    <n v="200"/>
  </r>
  <r>
    <n v="291"/>
    <n v="6171"/>
    <x v="0"/>
    <n v="21"/>
    <x v="1"/>
    <s v="kabelové rozvody MM II."/>
    <n v="0"/>
    <n v="0"/>
    <n v="4500"/>
    <n v="4500"/>
  </r>
  <r>
    <n v="291"/>
    <n v="6171"/>
    <x v="0"/>
    <n v="21"/>
    <x v="1"/>
    <s v="dof. - výpočetní technika"/>
    <m/>
    <m/>
    <n v="0"/>
    <n v="3789.5929999999998"/>
  </r>
  <r>
    <n v="291"/>
    <n v="6171"/>
    <x v="0"/>
    <n v="21"/>
    <x v="1"/>
    <s v="výpočetní technika"/>
    <n v="5740"/>
    <n v="5740"/>
    <n v="5500"/>
    <n v="5500"/>
  </r>
  <r>
    <n v="291"/>
    <n v="6171"/>
    <x v="0"/>
    <n v="21"/>
    <x v="1"/>
    <s v="projekt &quot;Konsolidace ICT&quot;"/>
    <n v="0"/>
    <n v="0"/>
    <n v="1050"/>
    <n v="1050"/>
  </r>
  <r>
    <n v="2911"/>
    <n v="6171"/>
    <x v="0"/>
    <n v="21"/>
    <x v="1"/>
    <s v="&quot;Rozvoj služeb eGovernmentu v obcích 06&quot; "/>
    <n v="1260"/>
    <n v="2660.5630000000001"/>
    <n v="0"/>
    <n v="0"/>
  </r>
  <r>
    <n v="296"/>
    <n v="6172"/>
    <x v="0"/>
    <n v="21"/>
    <x v="1"/>
    <s v="Projekt 09 „Zaji. přenosu dat a info. v úz. stat.města Karlovy Vary“ "/>
    <n v="23617"/>
    <n v="28662.552"/>
    <n v="0"/>
    <n v="0"/>
  </r>
  <r>
    <n v="1064"/>
    <n v="3311"/>
    <x v="5"/>
    <n v="25"/>
    <x v="0"/>
    <s v="Divadlo Husovka"/>
    <n v="1204"/>
    <n v="1204"/>
    <n v="1084"/>
    <n v="1084"/>
  </r>
  <r>
    <n v="1069"/>
    <n v="3312"/>
    <x v="5"/>
    <n v="25"/>
    <x v="0"/>
    <s v="PO KSO - neinvestiční příspěvek "/>
    <n v="25200"/>
    <n v="26270"/>
    <n v="23800"/>
    <n v="23800"/>
  </r>
  <r>
    <n v="2612"/>
    <n v="3429"/>
    <x v="6"/>
    <n v="25"/>
    <x v="0"/>
    <s v="neinvestiční transfery - ostatní zájmová činnost"/>
    <n v="40"/>
    <n v="40"/>
    <n v="40"/>
    <n v="40"/>
  </r>
  <r>
    <n v="2617"/>
    <n v="3319"/>
    <x v="5"/>
    <n v="25"/>
    <x v="0"/>
    <s v="neinvestiční transfery - kultura"/>
    <n v="1200"/>
    <n v="2753"/>
    <n v="1000"/>
    <n v="1999.5"/>
  </r>
  <r>
    <s v="2877"/>
    <n v="3315"/>
    <x v="5"/>
    <n v="25"/>
    <x v="0"/>
    <s v="neinv. transfer - Městská galerie K. Vary, s.r.o."/>
    <n v="100"/>
    <n v="160"/>
    <n v="150"/>
    <n v="150"/>
  </r>
  <r>
    <s v="2622"/>
    <s v="3319"/>
    <x v="5"/>
    <n v="25"/>
    <x v="0"/>
    <s v="neinv. transfer - Karlovarský karneval 2014"/>
    <n v="0"/>
    <n v="0"/>
    <n v="0"/>
    <n v="0"/>
  </r>
  <r>
    <s v="2611"/>
    <s v="3319"/>
    <x v="5"/>
    <n v="25"/>
    <x v="0"/>
    <s v="neinv. transfer - o.p.s. Hvězdárna a radioklub lázeňského města"/>
    <n v="1500"/>
    <n v="1500"/>
    <n v="1300"/>
    <n v="1300"/>
  </r>
  <r>
    <s v="1160"/>
    <n v="3311"/>
    <x v="5"/>
    <n v="25"/>
    <x v="0"/>
    <s v="neinv. transfer - Karlovarské městské divadlo, o.p.s."/>
    <n v="15000"/>
    <n v="15400"/>
    <n v="13000"/>
    <n v="13000"/>
  </r>
  <r>
    <s v="2630"/>
    <s v="2141"/>
    <x v="7"/>
    <n v="25"/>
    <x v="0"/>
    <s v="neinv. transfer - Lázeňský festival (České lázně v Evropě, o.p.s.)"/>
    <n v="300"/>
    <n v="300"/>
    <n v="0"/>
    <n v="0"/>
  </r>
  <r>
    <s v="2619"/>
    <s v="3312"/>
    <x v="5"/>
    <n v="25"/>
    <x v="0"/>
    <s v="neinv. transfer - Mezinár.folklor.festival (Soubor písní a tanců Dyleň KV o.s.)"/>
    <n v="250"/>
    <n v="350"/>
    <n v="250"/>
    <n v="250"/>
  </r>
  <r>
    <s v="2621"/>
    <s v="3312"/>
    <x v="5"/>
    <n v="25"/>
    <x v="0"/>
    <s v="neinv. transfer - Mezinár. pěvecké centrum A. Dvořáka v KV, o.p.s."/>
    <n v="500"/>
    <n v="500"/>
    <n v="350"/>
    <n v="350"/>
  </r>
  <r>
    <s v="2616"/>
    <s v="3312"/>
    <x v="5"/>
    <n v="25"/>
    <x v="0"/>
    <s v="neinv. transfer- Mezinár. Jazz. fest. (Jazzový kruh, o.s.)"/>
    <n v="300"/>
    <n v="500"/>
    <n v="300"/>
    <n v="300"/>
  </r>
  <r>
    <s v="2879"/>
    <s v="3313"/>
    <x v="5"/>
    <n v="25"/>
    <x v="0"/>
    <s v="neinv. transfer - MFF (Nadace FILM FESTIVAL K. Vary)"/>
    <n v="8000"/>
    <n v="8000"/>
    <n v="7000"/>
    <n v="7000"/>
  </r>
  <r>
    <s v="2618"/>
    <n v="3313"/>
    <x v="5"/>
    <n v="25"/>
    <x v="0"/>
    <s v="neinv. transfer - CzechTourism, - TOURFILM 2011"/>
    <n v="500"/>
    <n v="500"/>
    <n v="400"/>
    <n v="400"/>
  </r>
  <r>
    <s v="1063"/>
    <s v="3319"/>
    <x v="5"/>
    <n v="25"/>
    <x v="0"/>
    <s v="Program &quot;Kulturní léto&quot; "/>
    <n v="600"/>
    <n v="600"/>
    <n v="0"/>
    <n v="0"/>
  </r>
  <r>
    <s v="2875"/>
    <s v="3319"/>
    <x v="5"/>
    <n v="25"/>
    <x v="0"/>
    <s v="podpora významných kulturních, společenských a sportovních akcí "/>
    <n v="400"/>
    <n v="400"/>
    <n v="350"/>
    <n v="350"/>
  </r>
  <r>
    <s v="1150"/>
    <s v="3419"/>
    <x v="6"/>
    <n v="25"/>
    <x v="0"/>
    <s v="Dostihové závody a Cena města"/>
    <n v="360"/>
    <n v="360"/>
    <n v="360"/>
    <n v="360"/>
  </r>
  <r>
    <s v="0262,1151"/>
    <n v="3329"/>
    <x v="5"/>
    <n v="25"/>
    <x v="0"/>
    <s v="ostatní činnosti OKŠT - kultura a památky"/>
    <n v="7990"/>
    <n v="8359.5824400000001"/>
    <n v="5415"/>
    <n v="6480"/>
  </r>
  <r>
    <n v="260"/>
    <n v="3429"/>
    <x v="6"/>
    <n v="25"/>
    <x v="0"/>
    <s v="neinv.tr. na volnočasové aktivity "/>
    <n v="300"/>
    <n v="210"/>
    <n v="260"/>
    <n v="260"/>
  </r>
  <r>
    <n v="267"/>
    <n v="3314"/>
    <x v="5"/>
    <n v="25"/>
    <x v="0"/>
    <s v="provoz Městské knihovny K.Vary"/>
    <n v="2345"/>
    <n v="2344.1616800000002"/>
    <n v="2270"/>
    <n v="2270"/>
  </r>
  <r>
    <s v="xxxx"/>
    <n v="3419"/>
    <x v="6"/>
    <n v="25"/>
    <x v="0"/>
    <s v="neinvestiční dotace - sport"/>
    <n v="21795"/>
    <n v="23130"/>
    <n v="12440"/>
    <n v="12440"/>
  </r>
  <r>
    <n v="2615"/>
    <n v="3419"/>
    <x v="6"/>
    <n v="25"/>
    <x v="0"/>
    <s v="ost. významné sportovní akce"/>
    <n v="4500"/>
    <n v="4830"/>
    <n v="2500"/>
    <n v="2500"/>
  </r>
  <r>
    <n v="2614"/>
    <n v="3419"/>
    <x v="6"/>
    <n v="25"/>
    <x v="0"/>
    <s v="granty na sport"/>
    <n v="5805"/>
    <n v="13635"/>
    <n v="4940"/>
    <n v="6427"/>
  </r>
  <r>
    <n v="4031"/>
    <n v="3412"/>
    <x v="6"/>
    <n v="25"/>
    <x v="0"/>
    <s v="neinv.příspěvek KV ARENA (provozní dotace)"/>
    <n v="17500"/>
    <n v="19600"/>
    <n v="26300"/>
    <n v="26300"/>
  </r>
  <r>
    <n v="4031"/>
    <n v="3412"/>
    <x v="6"/>
    <n v="25"/>
    <x v="0"/>
    <s v="neinv.příspěvek KV ARENA (podpora význam.kult.akcí)"/>
    <n v="700"/>
    <n v="0"/>
    <n v="0"/>
    <n v="0"/>
  </r>
  <r>
    <n v="2614"/>
    <n v="3419"/>
    <x v="6"/>
    <n v="25"/>
    <x v="0"/>
    <s v="vyhlášení nejlepšího sportovce roku"/>
    <n v="100"/>
    <n v="100"/>
    <n v="100"/>
    <n v="100"/>
  </r>
  <r>
    <s v="0230"/>
    <s v="3113"/>
    <x v="8"/>
    <n v="25"/>
    <x v="0"/>
    <s v="neinv.příspěvek PO - ZŠ Mozartova"/>
    <n v="665"/>
    <n v="665"/>
    <n v="672"/>
    <n v="672"/>
  </r>
  <r>
    <s v="0303"/>
    <s v="3113"/>
    <x v="8"/>
    <n v="25"/>
    <x v="0"/>
    <s v="neinv.příspěvek PO - ZŠ a ZUŠ Šmeralova"/>
    <n v="3755"/>
    <n v="3755"/>
    <n v="3567"/>
    <n v="3567"/>
  </r>
  <r>
    <s v="0303"/>
    <s v="3113"/>
    <x v="8"/>
    <n v="25"/>
    <x v="0"/>
    <s v="neinv. přísp. EU,KK, SR - PO ZŠ a ZUŠ Šmeralova(UZ716,710,720)"/>
    <n v="0"/>
    <n v="500.10064"/>
    <n v="0"/>
    <n v="0"/>
  </r>
  <r>
    <s v="0304"/>
    <s v="3113"/>
    <x v="8"/>
    <n v="25"/>
    <x v="0"/>
    <s v="neinv.příspěvek PO - ZŠ 1.máje "/>
    <n v="2550"/>
    <n v="2550"/>
    <n v="2290"/>
    <n v="2290"/>
  </r>
  <r>
    <s v="0304"/>
    <n v="3113"/>
    <x v="8"/>
    <n v="25"/>
    <x v="0"/>
    <s v="neinv. transf. z EU pro ZŠ 1. máje (UZ 719)"/>
    <n v="0"/>
    <n v="238.67008999999999"/>
    <n v="0"/>
    <n v="0"/>
  </r>
  <r>
    <s v="0305"/>
    <s v="3113"/>
    <x v="8"/>
    <n v="25"/>
    <x v="0"/>
    <s v="neinv.příspěvek PO - ZŠ jazyků, Libušina"/>
    <n v="3149"/>
    <n v="3149"/>
    <n v="2900"/>
    <n v="2900"/>
  </r>
  <r>
    <s v="0305"/>
    <s v="3113"/>
    <x v="8"/>
    <n v="25"/>
    <x v="0"/>
    <s v="neinv. transf. EU,KK, SR - ZŠ jazyků (UZ 7xx)"/>
    <n v="0"/>
    <n v="887.49919"/>
    <n v="0"/>
    <n v="0"/>
  </r>
  <r>
    <s v="0306"/>
    <s v="3113"/>
    <x v="8"/>
    <n v="25"/>
    <x v="0"/>
    <s v="neinv.příspěvek PO - ZŠ DH, Moskevská"/>
    <n v="4000"/>
    <n v="4000"/>
    <n v="3800"/>
    <n v="3800"/>
  </r>
  <r>
    <s v="0309"/>
    <s v="3113"/>
    <x v="8"/>
    <n v="25"/>
    <x v="0"/>
    <s v="neinv.příspěvek PO - ZŠ JAK, Kollárova"/>
    <n v="4685"/>
    <n v="4685"/>
    <n v="4450"/>
    <n v="4450"/>
  </r>
  <r>
    <s v="0309"/>
    <s v="3113"/>
    <x v="8"/>
    <n v="25"/>
    <x v="0"/>
    <s v="neinv. transf. KK, SR - PO ZŠ Kollárova  (UZ 7xx)"/>
    <n v="0"/>
    <n v="595.77701999999999"/>
    <n v="0"/>
    <n v="0"/>
  </r>
  <r>
    <s v="0311"/>
    <s v="3113"/>
    <x v="8"/>
    <n v="25"/>
    <x v="0"/>
    <s v="neinv.příspěvek PO - ZŠ Poštovní"/>
    <n v="4100"/>
    <n v="4100"/>
    <n v="4000"/>
    <n v="4000"/>
  </r>
  <r>
    <s v="0311"/>
    <s v="3113"/>
    <x v="8"/>
    <n v="25"/>
    <x v="0"/>
    <s v="neinv. přísp. KK, SR - PO ZŠ Poštovní (UZ 716)"/>
    <n v="0"/>
    <n v="6"/>
    <n v="0"/>
    <n v="0"/>
  </r>
  <r>
    <s v="0312"/>
    <s v="3113"/>
    <x v="8"/>
    <n v="25"/>
    <x v="0"/>
    <s v="neinv.příspěvek PO - ZŠ Konečná"/>
    <n v="4895"/>
    <n v="4895"/>
    <n v="4800"/>
    <n v="4800"/>
  </r>
  <r>
    <s v="0312"/>
    <s v="3113"/>
    <x v="8"/>
    <n v="25"/>
    <x v="0"/>
    <s v="neinv. přísp. KK, SR -  PO ZŠ Konečná(UZ 716)"/>
    <n v="0"/>
    <n v="3.5"/>
    <n v="0"/>
    <n v="0"/>
  </r>
  <r>
    <s v="0314"/>
    <s v="3113"/>
    <x v="8"/>
    <n v="25"/>
    <x v="0"/>
    <s v="neinv.příspěvek PO - ZŠ Krušnohorská"/>
    <n v="6600"/>
    <n v="6600"/>
    <n v="6400"/>
    <n v="6400"/>
  </r>
  <r>
    <s v="0314"/>
    <s v="3113"/>
    <x v="8"/>
    <n v="25"/>
    <x v="0"/>
    <s v="neinv. přísp. EU,KK, SR - PO ZŠ Krušnohorská (UZ 7xx)"/>
    <n v="0"/>
    <n v="632.65059999999994"/>
    <n v="0"/>
    <n v="0"/>
  </r>
  <r>
    <s v="0314"/>
    <s v="3113"/>
    <x v="8"/>
    <n v="25"/>
    <x v="0"/>
    <s v="vratky dotací neinv.transf.- PO ZŠ Krušnohorská"/>
    <n v="0"/>
    <n v="95.825699999999998"/>
    <n v="0"/>
    <n v="0"/>
  </r>
  <r>
    <s v="0317"/>
    <s v="3113"/>
    <x v="8"/>
    <n v="25"/>
    <x v="0"/>
    <s v="neinv.příspěvek PO - ZŠ Truhlářská"/>
    <n v="4995"/>
    <n v="4995"/>
    <n v="4880"/>
    <n v="4880"/>
  </r>
  <r>
    <s v="0317"/>
    <s v="3113"/>
    <x v="8"/>
    <n v="25"/>
    <x v="0"/>
    <s v="neinv. přísp. KK, SR - PO ZŠ Truhlářská)(UZ 716)"/>
    <n v="0"/>
    <n v="2.5"/>
    <n v="0"/>
    <n v="0"/>
  </r>
  <r>
    <s v="0390"/>
    <s v="3111"/>
    <x v="8"/>
    <n v="25"/>
    <x v="0"/>
    <s v="neinv.příspěvek PO - 1. MŠ Komenského"/>
    <n v="6208"/>
    <n v="6208"/>
    <n v="5970"/>
    <n v="5970"/>
  </r>
  <r>
    <s v="0391"/>
    <s v="3111"/>
    <x v="8"/>
    <n v="25"/>
    <x v="0"/>
    <s v="neinv.příspěvek PO - 2. MŠ Krušnohorská"/>
    <n v="7190"/>
    <n v="7190"/>
    <n v="6830"/>
    <n v="6830"/>
  </r>
  <r>
    <s v="0300"/>
    <n v="3119"/>
    <x v="8"/>
    <n v="25"/>
    <x v="0"/>
    <s v="neinv.transfer - Waldorfská ZŠ v KV, o.s."/>
    <n v="200"/>
    <n v="200"/>
    <n v="10"/>
    <n v="10"/>
  </r>
  <r>
    <n v="4031"/>
    <n v="3412"/>
    <x v="6"/>
    <n v="25"/>
    <x v="1"/>
    <s v="investiční transfer KV Arena - nákup vybavení"/>
    <n v="0"/>
    <n v="800"/>
    <n v="4300"/>
    <n v="4300"/>
  </r>
  <r>
    <n v="1425"/>
    <n v="3419"/>
    <x v="6"/>
    <n v="25"/>
    <x v="1"/>
    <s v="inv. transf. EU, KK, SR - PO ZŠ Kollárova  (UZ 7xx)"/>
    <n v="0"/>
    <n v="201.59200000000001"/>
    <n v="0"/>
    <n v="0"/>
  </r>
  <r>
    <n v="1079"/>
    <n v="4351"/>
    <x v="9"/>
    <n v="28"/>
    <x v="0"/>
    <s v="neinv.transf.-DOP-HOME Care,s.r.o."/>
    <n v="0"/>
    <n v="65"/>
    <n v="0"/>
    <n v="0"/>
  </r>
  <r>
    <n v="712"/>
    <n v="4379"/>
    <x v="9"/>
    <n v="28"/>
    <x v="0"/>
    <s v="neinv.transf.-Centra sociál.pomoci(Farní charita)"/>
    <n v="250"/>
    <n v="1000"/>
    <n v="250"/>
    <n v="250"/>
  </r>
  <r>
    <n v="1079"/>
    <s v="43xx"/>
    <x v="9"/>
    <n v="28"/>
    <x v="0"/>
    <s v="neinv.transf.-Armáda spásy"/>
    <n v="0"/>
    <n v="545"/>
    <n v="0"/>
    <n v="0"/>
  </r>
  <r>
    <n v="1079"/>
    <n v="4379"/>
    <x v="9"/>
    <n v="28"/>
    <x v="0"/>
    <s v="neinv.transf. - Tyflocentrum"/>
    <n v="0"/>
    <n v="200"/>
    <n v="0"/>
    <n v="0"/>
  </r>
  <r>
    <n v="1079"/>
    <n v="4344"/>
    <x v="9"/>
    <n v="28"/>
    <x v="0"/>
    <s v="neinv.transf. - Tyfloservis"/>
    <n v="0"/>
    <n v="100"/>
    <n v="0"/>
    <n v="0"/>
  </r>
  <r>
    <n v="1079"/>
    <s v="43xx"/>
    <x v="9"/>
    <n v="28"/>
    <x v="0"/>
    <s v="neinv.transf.-Res vitae"/>
    <n v="0"/>
    <n v="100"/>
    <n v="0"/>
    <n v="0"/>
  </r>
  <r>
    <n v="1079"/>
    <n v="4379"/>
    <x v="9"/>
    <n v="28"/>
    <x v="0"/>
    <s v="neinv.transf.-Kontakt bB"/>
    <n v="0"/>
    <n v="155"/>
    <n v="0"/>
    <n v="0"/>
  </r>
  <r>
    <n v="711"/>
    <s v="43xx"/>
    <x v="9"/>
    <n v="28"/>
    <x v="0"/>
    <s v="neinv.transf.-ag. domácí péče-LADARA"/>
    <n v="0"/>
    <n v="540"/>
    <n v="0"/>
    <n v="0"/>
  </r>
  <r>
    <n v="1079"/>
    <s v="43xx"/>
    <x v="9"/>
    <n v="28"/>
    <x v="0"/>
    <s v="ostatní neinv.transfery do sociálně zdrav.oblasti"/>
    <n v="1451"/>
    <n v="1450"/>
    <n v="1500"/>
    <n v="1500"/>
  </r>
  <r>
    <s v="0702,0733,0730,0708"/>
    <s v="43xx,3632"/>
    <x v="9"/>
    <n v="28"/>
    <x v="0"/>
    <s v="Ostatní běžné výdaje OSV"/>
    <n v="426"/>
    <n v="531.26800000000003"/>
    <n v="314"/>
    <n v="314"/>
  </r>
  <r>
    <n v="724"/>
    <n v="4399"/>
    <x v="9"/>
    <n v="28"/>
    <x v="0"/>
    <s v="výkon pěstounské péče (ÚZ 13010)"/>
    <n v="0"/>
    <n v="84"/>
    <n v="0"/>
    <n v="669.66"/>
  </r>
  <r>
    <n v="721"/>
    <n v="6171"/>
    <x v="0"/>
    <n v="28"/>
    <x v="0"/>
    <s v="sociálně-právní ochrana dětí (UZ 13011)"/>
    <n v="0"/>
    <n v="222.35300000000001"/>
    <n v="0"/>
    <n v="0"/>
  </r>
  <r>
    <n v="723"/>
    <n v="3612"/>
    <x v="4"/>
    <n v="28"/>
    <x v="0"/>
    <s v="úhrada nájemného - azylanti (UZ 14336)"/>
    <n v="0"/>
    <n v="72"/>
    <n v="0"/>
    <n v="0"/>
  </r>
  <r>
    <n v="742"/>
    <n v="6171"/>
    <x v="0"/>
    <n v="28"/>
    <x v="0"/>
    <s v="Fond pro finanční pomoci v kriz.situacích"/>
    <n v="200"/>
    <n v="210"/>
    <n v="200"/>
    <n v="200"/>
  </r>
  <r>
    <n v="4102"/>
    <n v="4399"/>
    <x v="9"/>
    <n v="28"/>
    <x v="0"/>
    <s v="bezúročné půjčky obyvatelstvu"/>
    <n v="0"/>
    <n v="0"/>
    <n v="0"/>
    <n v="0"/>
  </r>
  <r>
    <n v="9302"/>
    <n v="4351"/>
    <x v="9"/>
    <n v="28"/>
    <x v="0"/>
    <s v="PO MZSS - neinvestiční příspěvek "/>
    <n v="15000"/>
    <n v="15000"/>
    <n v="15000"/>
    <n v="15000"/>
  </r>
  <r>
    <s v="4060,3402,3405"/>
    <s v="3xxx"/>
    <x v="4"/>
    <n v="34"/>
    <x v="0"/>
    <s v="projekt Zdravé město a místní Agenda 21 a Asociace měst pro cyklisty"/>
    <n v="610"/>
    <n v="630"/>
    <n v="735"/>
    <n v="735"/>
  </r>
  <r>
    <n v="4061"/>
    <n v="3636"/>
    <x v="4"/>
    <n v="34"/>
    <x v="0"/>
    <s v="strategické plánování a programové období 2014-2020"/>
    <n v="1080"/>
    <n v="1080"/>
    <n v="830"/>
    <n v="830"/>
  </r>
  <r>
    <n v="4080"/>
    <s v="36xx"/>
    <x v="4"/>
    <n v="34"/>
    <x v="0"/>
    <s v="dotační projekty"/>
    <n v="890"/>
    <n v="1079.9939999999999"/>
    <n v="685"/>
    <n v="685"/>
  </r>
  <r>
    <n v="3403.3404"/>
    <n v="3699"/>
    <x v="4"/>
    <n v="34"/>
    <x v="0"/>
    <s v="ostatní výdaje OSD"/>
    <n v="412"/>
    <n v="392"/>
    <n v="427"/>
    <n v="460"/>
  </r>
  <r>
    <n v="4090"/>
    <n v="3699"/>
    <x v="4"/>
    <n v="35"/>
    <x v="0"/>
    <s v="oddělení architektury a urbanismu"/>
    <n v="1100"/>
    <n v="1700"/>
    <n v="400"/>
    <n v="868"/>
  </r>
  <r>
    <s v="3500,3501,3510,4016"/>
    <n v="3699"/>
    <x v="4"/>
    <n v="35"/>
    <x v="0"/>
    <s v="ostatní běžné výdaje odboru rozvoje a investic"/>
    <n v="818"/>
    <n v="1318"/>
    <n v="1326"/>
    <n v="1326"/>
  </r>
  <r>
    <n v="3507"/>
    <n v="2212"/>
    <x v="3"/>
    <n v="35"/>
    <x v="0"/>
    <s v="přesun z r. 2012 - Ul.Slovenská - skalní masív"/>
    <n v="0"/>
    <n v="4697"/>
    <n v="0"/>
    <n v="0"/>
  </r>
  <r>
    <n v="3541"/>
    <n v="2212"/>
    <x v="3"/>
    <n v="35"/>
    <x v="0"/>
    <s v="Odvodnění svahů v ulici Na Vyhlídce"/>
    <n v="0"/>
    <n v="815.36099999999999"/>
    <n v="0"/>
    <n v="0"/>
  </r>
  <r>
    <n v="3547"/>
    <n v="2219"/>
    <x v="3"/>
    <n v="35"/>
    <x v="0"/>
    <s v="Cyklostezka Ohře, úsek Kaufland - Interspaar"/>
    <n v="0"/>
    <n v="73.7"/>
    <n v="0"/>
    <n v="0"/>
  </r>
  <r>
    <n v="3552"/>
    <n v="2219"/>
    <x v="5"/>
    <n v="35"/>
    <x v="0"/>
    <s v="Rekonstrukce schodiště v areálu kostela SV.Urbana"/>
    <n v="0"/>
    <n v="400"/>
    <n v="0"/>
    <n v="0"/>
  </r>
  <r>
    <n v="3510"/>
    <n v="3699"/>
    <x v="4"/>
    <n v="35"/>
    <x v="1"/>
    <s v="projektová dokumentace (PD)"/>
    <n v="1500"/>
    <n v="1500"/>
    <n v="1190"/>
    <n v="1190"/>
  </r>
  <r>
    <n v="4091"/>
    <n v="3699"/>
    <x v="4"/>
    <n v="35"/>
    <x v="1"/>
    <s v="přesun z r. 2012 - projektová dokumentace -Odd.architekt. a urbanismu"/>
    <n v="0"/>
    <n v="500"/>
    <n v="0"/>
    <n v="0"/>
  </r>
  <r>
    <n v="4023"/>
    <n v="2212"/>
    <x v="3"/>
    <n v="35"/>
    <x v="1"/>
    <s v="projektová dokumentace - komunikace"/>
    <n v="1875"/>
    <n v="1875"/>
    <n v="1360"/>
    <n v="1360"/>
  </r>
  <r>
    <n v="3536"/>
    <n v="3699"/>
    <x v="4"/>
    <n v="35"/>
    <x v="1"/>
    <s v="Studie"/>
    <n v="750"/>
    <n v="750"/>
    <n v="425"/>
    <n v="725"/>
  </r>
  <r>
    <n v="3598"/>
    <n v="3699"/>
    <x v="4"/>
    <n v="35"/>
    <x v="1"/>
    <s v="ostatní investiční akce OI"/>
    <n v="4000"/>
    <n v="4000"/>
    <n v="1700"/>
    <n v="1700"/>
  </r>
  <r>
    <n v="3976"/>
    <n v="3699"/>
    <x v="4"/>
    <n v="35"/>
    <x v="1"/>
    <s v="Projekty EU ROP - Míčová hala"/>
    <n v="5000"/>
    <n v="9519"/>
    <n v="41200"/>
    <n v="41932"/>
  </r>
  <r>
    <n v="4085"/>
    <n v="3699"/>
    <x v="4"/>
    <n v="35"/>
    <x v="1"/>
    <s v="Projekty EU ROP - Centrum zdraví a bezpečí"/>
    <n v="5000"/>
    <n v="8379.7999999999993"/>
    <n v="30000"/>
    <n v="30679"/>
  </r>
  <r>
    <n v="4033"/>
    <n v="3419"/>
    <x v="6"/>
    <n v="35"/>
    <x v="1"/>
    <s v="IPRM - výst. krytého plav. bazénu, lávka, parkoviště-dofakturace"/>
    <n v="0"/>
    <n v="14850"/>
    <n v="0"/>
    <n v="0"/>
  </r>
  <r>
    <m/>
    <n v="3699"/>
    <x v="4"/>
    <n v="35"/>
    <x v="1"/>
    <s v="Revitalizace veř.prostor St. Role - Závodu míru (vnitrobloky)"/>
    <n v="0"/>
    <n v="16315"/>
    <n v="0"/>
    <n v="4434"/>
  </r>
  <r>
    <n v="4018"/>
    <n v="3699"/>
    <x v="4"/>
    <n v="35"/>
    <x v="1"/>
    <s v="Revitalizace veř.prostor St. Role - ul.Karlovarská"/>
    <m/>
    <m/>
    <n v="0"/>
    <n v="7102"/>
  </r>
  <r>
    <n v="4005"/>
    <n v="3699"/>
    <x v="4"/>
    <n v="35"/>
    <x v="1"/>
    <s v="Revitalizace veř.prostor St. Role"/>
    <m/>
    <m/>
    <n v="0"/>
    <n v="7700"/>
  </r>
  <r>
    <m/>
    <n v="3699"/>
    <x v="4"/>
    <n v="35"/>
    <x v="1"/>
    <s v="Projekty EU IOP - Stará Role, veřejná prostranství"/>
    <n v="0"/>
    <n v="874"/>
    <n v="0"/>
    <n v="0"/>
  </r>
  <r>
    <n v="3503"/>
    <n v="3699"/>
    <x v="4"/>
    <n v="35"/>
    <x v="1"/>
    <s v="přesun z r. 2012 - plán ochrany"/>
    <n v="0"/>
    <n v="1390"/>
    <n v="0"/>
    <n v="378"/>
  </r>
  <r>
    <m/>
    <n v="2212"/>
    <x v="3"/>
    <n v="35"/>
    <x v="1"/>
    <s v="přesun z r. 2012 - Ul.Na Vyhlídce - obnova povrchů"/>
    <n v="0"/>
    <n v="13161.8"/>
    <n v="0"/>
    <n v="0"/>
  </r>
  <r>
    <m/>
    <n v="2212"/>
    <x v="3"/>
    <n v="35"/>
    <x v="1"/>
    <s v="přesun z r. 2012 - chodník Tašovice-Jenišov"/>
    <n v="0"/>
    <n v="700"/>
    <n v="0"/>
    <n v="0"/>
  </r>
  <r>
    <m/>
    <n v="2212"/>
    <x v="3"/>
    <n v="35"/>
    <x v="1"/>
    <s v="chodník Olšova vrata (dof.)"/>
    <n v="0"/>
    <n v="560"/>
    <n v="0"/>
    <n v="0"/>
  </r>
  <r>
    <m/>
    <n v="2212"/>
    <x v="3"/>
    <n v="35"/>
    <x v="1"/>
    <s v="přesun z r. 2012 - chodník Počerny, úprava ploch"/>
    <n v="0"/>
    <n v="2788.9331699999998"/>
    <n v="0"/>
    <n v="0"/>
  </r>
  <r>
    <m/>
    <n v="2212"/>
    <x v="3"/>
    <n v="35"/>
    <x v="1"/>
    <s v="přesun z r. 2012 - chodníky - ul. Chodovská"/>
    <n v="0"/>
    <n v="640"/>
    <n v="0"/>
    <n v="0"/>
  </r>
  <r>
    <m/>
    <n v="2212"/>
    <x v="3"/>
    <n v="35"/>
    <x v="1"/>
    <s v="chodníky - Čankov"/>
    <n v="0"/>
    <n v="0"/>
    <n v="1955"/>
    <n v="1955"/>
  </r>
  <r>
    <m/>
    <n v="2212"/>
    <x v="3"/>
    <n v="35"/>
    <x v="1"/>
    <s v="chodníky - Sedlec - Růžový vrch"/>
    <n v="0"/>
    <n v="0"/>
    <n v="765"/>
    <n v="765"/>
  </r>
  <r>
    <n v="3984"/>
    <n v="3613"/>
    <x v="4"/>
    <n v="35"/>
    <x v="1"/>
    <s v="Husovo náměstí - úprava nádvoří"/>
    <n v="0"/>
    <n v="8660"/>
    <n v="1785"/>
    <n v="1785"/>
  </r>
  <r>
    <n v="3513"/>
    <n v="6171"/>
    <x v="0"/>
    <n v="35"/>
    <x v="1"/>
    <s v="MMKV II. , U spořitelny 2"/>
    <n v="0"/>
    <n v="0"/>
    <n v="3570"/>
    <n v="3570"/>
  </r>
  <r>
    <n v="3513"/>
    <n v="6171"/>
    <x v="0"/>
    <n v="35"/>
    <x v="1"/>
    <s v="MMKV úprava hlavního vchodu"/>
    <n v="1500"/>
    <n v="1500"/>
    <m/>
    <m/>
  </r>
  <r>
    <n v="3513"/>
    <n v="6171"/>
    <x v="0"/>
    <n v="35"/>
    <x v="1"/>
    <s v="MM II-rek.rozvodů pitné vody"/>
    <n v="0"/>
    <n v="0"/>
    <n v="680"/>
    <n v="680"/>
  </r>
  <r>
    <n v="3582"/>
    <n v="2212"/>
    <x v="3"/>
    <n v="35"/>
    <x v="1"/>
    <s v="přesun z r. 2012 - Bezejmenná ulice - Doubí - parcely č. 32/2 a 153/1"/>
    <n v="0"/>
    <n v="1248.2180000000001"/>
    <n v="0"/>
    <n v="0"/>
  </r>
  <r>
    <n v="3537"/>
    <n v="2212"/>
    <x v="3"/>
    <n v="35"/>
    <x v="1"/>
    <s v="Lávka přes Horní nádraží"/>
    <n v="500"/>
    <n v="500"/>
    <n v="1000"/>
    <n v="1000"/>
  </r>
  <r>
    <n v="3538"/>
    <n v="2219"/>
    <x v="3"/>
    <n v="35"/>
    <x v="1"/>
    <s v="Stezka Horní nádraží - Rybáře"/>
    <n v="1000"/>
    <n v="1000"/>
    <n v="0"/>
    <n v="0"/>
  </r>
  <r>
    <n v="3539"/>
    <n v="2212"/>
    <x v="3"/>
    <n v="35"/>
    <x v="1"/>
    <s v="Úpravy přednádražního prostoru"/>
    <n v="500"/>
    <n v="500"/>
    <n v="1000"/>
    <n v="1000"/>
  </r>
  <r>
    <n v="3540"/>
    <n v="2212"/>
    <x v="3"/>
    <n v="35"/>
    <x v="1"/>
    <s v="Na Vyhlídce -úprava komunikace - Odvodnění svahů v ulici Na Vyhlídce"/>
    <n v="825"/>
    <n v="0"/>
    <n v="0"/>
    <n v="0"/>
  </r>
  <r>
    <m/>
    <s v="221x"/>
    <x v="3"/>
    <n v="35"/>
    <x v="1"/>
    <s v="Rosnice - rekonstrukce místní komunikace"/>
    <n v="0"/>
    <n v="0"/>
    <n v="1020"/>
    <n v="1020"/>
  </r>
  <r>
    <n v="3541"/>
    <n v="2212"/>
    <x v="3"/>
    <n v="35"/>
    <x v="1"/>
    <s v="Karlovy Vary,sanace skalních masívů c k.ú. Bohatice"/>
    <n v="3300"/>
    <n v="3300"/>
    <n v="0"/>
    <n v="3135"/>
  </r>
  <r>
    <n v="3542"/>
    <n v="2212"/>
    <x v="3"/>
    <n v="35"/>
    <x v="1"/>
    <s v="Rekonstrukce komunikace k areálu Meandr"/>
    <n v="5500"/>
    <n v="5500"/>
    <n v="0"/>
    <n v="5500"/>
  </r>
  <r>
    <n v="3543"/>
    <n v="2212"/>
    <x v="3"/>
    <n v="35"/>
    <x v="1"/>
    <s v="Ulice K Letišti - rekonstrukce"/>
    <n v="4275"/>
    <n v="4275"/>
    <n v="0"/>
    <n v="4195"/>
  </r>
  <r>
    <n v="3544"/>
    <n v="2212"/>
    <x v="3"/>
    <n v="35"/>
    <x v="1"/>
    <s v="Ulice Fr. Halase - rekonstrukce"/>
    <n v="1275"/>
    <n v="1275"/>
    <n v="0"/>
    <n v="1235"/>
  </r>
  <r>
    <n v="3545"/>
    <n v="2212"/>
    <x v="3"/>
    <n v="35"/>
    <x v="1"/>
    <s v="Ulice Americká a Rumunská - oprava povrchů"/>
    <n v="12825"/>
    <n v="12825"/>
    <n v="9668.75"/>
    <n v="22174.75"/>
  </r>
  <r>
    <n v="3546"/>
    <n v="2212"/>
    <x v="3"/>
    <n v="35"/>
    <x v="1"/>
    <s v="Ulice Vítězná, Prašná - rekonstrukce  "/>
    <n v="18400"/>
    <n v="18400"/>
    <n v="18530"/>
    <n v="26087"/>
  </r>
  <r>
    <m/>
    <n v="2212"/>
    <x v="3"/>
    <n v="35"/>
    <x v="1"/>
    <s v="Ulice Na Vyhlídce - úprava komunikace"/>
    <n v="0"/>
    <n v="0"/>
    <n v="1785"/>
    <n v="1785"/>
  </r>
  <r>
    <m/>
    <n v="2212"/>
    <x v="3"/>
    <n v="35"/>
    <x v="1"/>
    <s v="Ulice Východní - rozšíření parkoviště"/>
    <n v="0"/>
    <n v="0"/>
    <n v="1360"/>
    <n v="1360"/>
  </r>
  <r>
    <m/>
    <n v="2212"/>
    <x v="3"/>
    <n v="35"/>
    <x v="1"/>
    <s v="Ulice Kollárova - parkovací stání"/>
    <n v="0"/>
    <n v="0"/>
    <n v="255"/>
    <n v="255"/>
  </r>
  <r>
    <m/>
    <n v="2212"/>
    <x v="3"/>
    <n v="35"/>
    <x v="1"/>
    <s v="Ulice Krymská - stavební úpravy"/>
    <n v="0"/>
    <n v="0"/>
    <n v="1615"/>
    <n v="1615"/>
  </r>
  <r>
    <m/>
    <n v="2212"/>
    <x v="3"/>
    <n v="35"/>
    <x v="1"/>
    <s v="Ulice Moravská, Hynaisova a nám. Svobody"/>
    <n v="0"/>
    <n v="0"/>
    <n v="1000"/>
    <n v="1000"/>
  </r>
  <r>
    <m/>
    <n v="2212"/>
    <x v="3"/>
    <n v="35"/>
    <x v="1"/>
    <s v="Ulice Ondříčkova - opěrná zeď,vč.zábradlí"/>
    <n v="0"/>
    <n v="0"/>
    <n v="2465"/>
    <n v="2465"/>
  </r>
  <r>
    <m/>
    <n v="3699"/>
    <x v="4"/>
    <n v="35"/>
    <x v="1"/>
    <s v="Urbanistické řešení centra K.Varů"/>
    <n v="0"/>
    <n v="0"/>
    <n v="935"/>
    <n v="935"/>
  </r>
  <r>
    <m/>
    <n v="3311"/>
    <x v="5"/>
    <n v="35"/>
    <x v="1"/>
    <s v="Divadlo Husovka - odvlhčení a sanace objektu, obnova fasády"/>
    <n v="0"/>
    <n v="0"/>
    <n v="3910"/>
    <n v="3910"/>
  </r>
  <r>
    <n v="3547"/>
    <n v="2219"/>
    <x v="3"/>
    <n v="35"/>
    <x v="1"/>
    <s v="Cyklostezka Ohře, úsek Kaufland - Interspaar"/>
    <n v="21000"/>
    <n v="12226.3"/>
    <n v="0"/>
    <n v="3656"/>
  </r>
  <r>
    <n v="3555"/>
    <n v="2212"/>
    <x v="3"/>
    <n v="35"/>
    <x v="1"/>
    <s v="II/222 K.Vary - Kyselka, sesuv zemin"/>
    <m/>
    <m/>
    <n v="0"/>
    <n v="555"/>
  </r>
  <r>
    <n v="3556"/>
    <n v="3111"/>
    <x v="8"/>
    <n v="35"/>
    <x v="1"/>
    <s v="1.MŠ Karlovy Vary - Se zahradou do přírody"/>
    <m/>
    <m/>
    <n v="0"/>
    <n v="2642"/>
  </r>
  <r>
    <n v="3525"/>
    <n v="2212"/>
    <x v="3"/>
    <n v="35"/>
    <x v="1"/>
    <s v="IPRM  IOP - Smetanova, Hlávkova"/>
    <m/>
    <m/>
    <n v="8200"/>
    <n v="8200"/>
  </r>
  <r>
    <n v="3526"/>
    <n v="2219"/>
    <x v="3"/>
    <n v="35"/>
    <x v="1"/>
    <s v="IPRM  IOP - chodníky"/>
    <m/>
    <m/>
    <n v="6200"/>
    <n v="6200"/>
  </r>
  <r>
    <n v="3527"/>
    <n v="2219"/>
    <x v="3"/>
    <n v="35"/>
    <x v="1"/>
    <s v="Cyklostezka InterSpar - Svatošské skály"/>
    <n v="0"/>
    <n v="0"/>
    <n v="32000"/>
    <n v="32000"/>
  </r>
  <r>
    <m/>
    <n v="3113"/>
    <x v="8"/>
    <n v="35"/>
    <x v="1"/>
    <s v="ZŠ Poštovní - školní hřiště"/>
    <n v="7500"/>
    <n v="5664.4619999999986"/>
    <n v="0"/>
    <n v="0"/>
  </r>
  <r>
    <m/>
    <n v="3113"/>
    <x v="8"/>
    <n v="35"/>
    <x v="1"/>
    <s v="ZŠ Poštovní - zázemí správce areálu"/>
    <e v="#REF!"/>
    <e v="#REF!"/>
    <n v="646"/>
    <n v="646"/>
  </r>
  <r>
    <m/>
    <n v="3113"/>
    <x v="8"/>
    <n v="35"/>
    <x v="1"/>
    <s v="ZŠ Truhlářská - sanace zdiva"/>
    <n v="0"/>
    <n v="0"/>
    <n v="6035"/>
    <n v="6035"/>
  </r>
  <r>
    <m/>
    <n v="3113"/>
    <x v="8"/>
    <n v="35"/>
    <x v="1"/>
    <s v="ZŠ Truhlářská - zajištění ener.úspor"/>
    <n v="0"/>
    <n v="0"/>
    <n v="13515"/>
    <n v="13515"/>
  </r>
  <r>
    <m/>
    <n v="3113"/>
    <x v="8"/>
    <n v="35"/>
    <x v="1"/>
    <s v="ZŠ Šmeralova - rekonstrukce střechy a půdní vestavba"/>
    <n v="0"/>
    <n v="0"/>
    <n v="4590"/>
    <n v="4590"/>
  </r>
  <r>
    <m/>
    <n v="3113"/>
    <x v="8"/>
    <n v="35"/>
    <x v="1"/>
    <s v="ZŠ 1.máje- zajištění ener.úspor"/>
    <n v="0"/>
    <n v="0"/>
    <n v="8755"/>
    <n v="8755"/>
  </r>
  <r>
    <m/>
    <n v="3113"/>
    <x v="8"/>
    <n v="35"/>
    <x v="1"/>
    <s v="ZŠ Mozartova - zateplení objektu, rekonstrukce střechy"/>
    <n v="2325"/>
    <n v="2325"/>
    <n v="2720"/>
    <n v="2720"/>
  </r>
  <r>
    <m/>
    <n v="3113"/>
    <x v="8"/>
    <n v="35"/>
    <x v="1"/>
    <s v="ZŠ Dukelský hrdinů - úprava školního nádvoří"/>
    <n v="1000"/>
    <n v="1000"/>
    <n v="5950"/>
    <n v="5950"/>
  </r>
  <r>
    <m/>
    <n v="3111"/>
    <x v="8"/>
    <n v="35"/>
    <x v="1"/>
    <s v="MŠ Východní - zateplení"/>
    <n v="6900"/>
    <n v="5550"/>
    <n v="0"/>
    <n v="0"/>
  </r>
  <r>
    <m/>
    <n v="3111"/>
    <x v="8"/>
    <n v="35"/>
    <x v="1"/>
    <s v="MŠ Mládežnická - zajištění energ.úspor"/>
    <n v="0"/>
    <n v="0"/>
    <n v="9585"/>
    <n v="9585"/>
  </r>
  <r>
    <m/>
    <m/>
    <x v="4"/>
    <n v="35"/>
    <x v="1"/>
    <s v="Karlovy Vary, lávka pro pěší a cyklisty Meandr Ohře - Interspar"/>
    <m/>
    <m/>
    <n v="1000"/>
    <n v="1000"/>
  </r>
  <r>
    <m/>
    <m/>
    <x v="4"/>
    <n v="35"/>
    <x v="1"/>
    <s v="Karlovy Vary, venkovní bazén"/>
    <m/>
    <m/>
    <n v="1000"/>
    <n v="1000"/>
  </r>
  <r>
    <m/>
    <n v="3699"/>
    <x v="4"/>
    <n v="35"/>
    <x v="1"/>
    <s v="AL - přívod tepla"/>
    <n v="0"/>
    <n v="0"/>
    <n v="5355"/>
    <n v="5355"/>
  </r>
  <r>
    <m/>
    <n v="2219"/>
    <x v="4"/>
    <n v="35"/>
    <x v="1"/>
    <s v="Rekonstrukce schodiště v areálu kostela SV.Urbana"/>
    <n v="400"/>
    <n v="0"/>
    <n v="0"/>
    <n v="0"/>
  </r>
  <r>
    <n v="3553"/>
    <n v="2333"/>
    <x v="4"/>
    <n v="35"/>
    <x v="1"/>
    <s v="PO LL-Jezero Odeř, rekonstrukce přivaděče vody"/>
    <n v="1300"/>
    <n v="1300"/>
    <n v="0"/>
    <n v="1287"/>
  </r>
  <r>
    <n v="3554"/>
    <n v="3741"/>
    <x v="4"/>
    <n v="35"/>
    <x v="1"/>
    <s v="PO LL - Tůně pro obojživelníky Olšová Vrata"/>
    <n v="348"/>
    <n v="348"/>
    <n v="0"/>
    <n v="348"/>
  </r>
  <r>
    <m/>
    <m/>
    <x v="4"/>
    <n v="35"/>
    <x v="1"/>
    <s v="střešní konstrukce St. Kysibelská"/>
    <n v="0"/>
    <n v="12000"/>
    <n v="0"/>
    <n v="16000"/>
  </r>
  <r>
    <n v="3972"/>
    <n v="3613"/>
    <x v="4"/>
    <n v="35"/>
    <x v="1"/>
    <s v=" rek. Lidového domu Stará Role"/>
    <n v="0"/>
    <n v="13370"/>
    <n v="0"/>
    <n v="1822"/>
  </r>
  <r>
    <m/>
    <n v="3111"/>
    <x v="4"/>
    <n v="35"/>
    <x v="1"/>
    <s v="výplně otvorů MŠ Krymská 10,12"/>
    <n v="0"/>
    <n v="4310"/>
    <n v="0"/>
    <n v="0"/>
  </r>
  <r>
    <m/>
    <m/>
    <x v="4"/>
    <n v="35"/>
    <x v="1"/>
    <s v="Úprava Majakovského ul. - I.etapa"/>
    <n v="0"/>
    <n v="3200"/>
    <n v="0"/>
    <n v="3131"/>
  </r>
  <r>
    <m/>
    <n v="3111"/>
    <x v="4"/>
    <n v="35"/>
    <x v="1"/>
    <s v="TZ budov z energ. auditů -zetepl.a výplně MŠ Sedlec"/>
    <n v="0"/>
    <n v="2780"/>
    <n v="0"/>
    <n v="0"/>
  </r>
  <r>
    <m/>
    <n v="3111"/>
    <x v="4"/>
    <n v="35"/>
    <x v="1"/>
    <s v="TZ budov z energ. auditů -zetepl.a výplně MŠ Dvořákova"/>
    <n v="0"/>
    <n v="2340"/>
    <n v="0"/>
    <n v="0"/>
  </r>
  <r>
    <n v="4084"/>
    <s v="36xx"/>
    <x v="4"/>
    <n v="37"/>
    <x v="0"/>
    <s v="územní plánování"/>
    <n v="3033"/>
    <n v="3033"/>
    <n v="3330"/>
    <n v="3330"/>
  </r>
  <r>
    <n v="3700"/>
    <n v="3699"/>
    <x v="4"/>
    <n v="37"/>
    <x v="0"/>
    <s v="běžná činnost SÚ"/>
    <n v="130"/>
    <n v="130"/>
    <n v="130"/>
    <n v="130"/>
  </r>
  <r>
    <n v="3701"/>
    <n v="6171"/>
    <x v="0"/>
    <n v="37"/>
    <x v="0"/>
    <s v="archívní činnost"/>
    <n v="140"/>
    <n v="138.31858"/>
    <n v="143"/>
    <n v="143"/>
  </r>
  <r>
    <n v="3701"/>
    <n v="6171"/>
    <x v="0"/>
    <n v="37"/>
    <x v="1"/>
    <s v="výpočetní technika - kopírovací stroj - archiv"/>
    <n v="0"/>
    <n v="0"/>
    <n v="350"/>
    <n v="350"/>
  </r>
  <r>
    <n v="3700"/>
    <n v="5212"/>
    <x v="1"/>
    <n v="37"/>
    <x v="1"/>
    <s v="inv.transfer KK na protipovod.opatření"/>
    <n v="0"/>
    <n v="20.52"/>
    <n v="0"/>
    <n v="0"/>
  </r>
  <r>
    <n v="2882.2885000000001"/>
    <n v="3612"/>
    <x v="4"/>
    <n v="39"/>
    <x v="0"/>
    <s v="ost.náklady na bytovou výstavbu Stará Role"/>
    <n v="110"/>
    <n v="110"/>
    <n v="110"/>
    <n v="110"/>
  </r>
  <r>
    <n v="7026"/>
    <n v="3699.2219"/>
    <x v="4"/>
    <n v="39"/>
    <x v="0"/>
    <s v="správa pozemků"/>
    <n v="4622"/>
    <n v="5283.58"/>
    <n v="3360"/>
    <n v="3810"/>
  </r>
  <r>
    <n v="2861"/>
    <n v="3613"/>
    <x v="4"/>
    <n v="39"/>
    <x v="0"/>
    <s v="správa nebytových prostorů"/>
    <n v="7180"/>
    <n v="7003.4020499999997"/>
    <n v="12875"/>
    <n v="20676"/>
  </r>
  <r>
    <n v="2860"/>
    <s v="311x"/>
    <x v="8"/>
    <n v="39"/>
    <x v="0"/>
    <s v="opravy budov školství"/>
    <n v="10400"/>
    <n v="10872.97766"/>
    <n v="9900"/>
    <n v="9961"/>
  </r>
  <r>
    <n v="3698"/>
    <n v="3699"/>
    <x v="4"/>
    <n v="39"/>
    <x v="0"/>
    <s v="správa opěrných zdí"/>
    <n v="720"/>
    <n v="720"/>
    <n v="0"/>
    <n v="0"/>
  </r>
  <r>
    <n v="289"/>
    <n v="3612"/>
    <x v="4"/>
    <n v="39"/>
    <x v="0"/>
    <s v="bytové hospodářství"/>
    <n v="430"/>
    <n v="3530"/>
    <n v="1030"/>
    <n v="1030"/>
  </r>
  <r>
    <s v="9334,9518,9528,9542,3939,3901"/>
    <n v="3639.6408999999999"/>
    <x v="4"/>
    <n v="39"/>
    <x v="0"/>
    <s v="agenda prodeje majetku města"/>
    <n v="10065"/>
    <n v="10022"/>
    <n v="8510"/>
    <n v="8510"/>
  </r>
  <r>
    <n v="9540"/>
    <n v="3699"/>
    <x v="4"/>
    <n v="39"/>
    <x v="0"/>
    <s v="RK IKON"/>
    <n v="0"/>
    <n v="2800"/>
    <n v="4800"/>
    <n v="4800"/>
  </r>
  <r>
    <n v="9515"/>
    <n v="3613"/>
    <x v="4"/>
    <n v="39"/>
    <x v="0"/>
    <s v="areál Západní 67"/>
    <n v="0"/>
    <n v="450"/>
    <n v="220"/>
    <n v="220"/>
  </r>
  <r>
    <n v="2867"/>
    <n v="3699"/>
    <x v="4"/>
    <n v="39"/>
    <x v="0"/>
    <s v="opravy a udržování (oblast bezpečnost)"/>
    <n v="14000"/>
    <n v="19750"/>
    <n v="17620"/>
    <n v="24979"/>
  </r>
  <r>
    <n v="2856"/>
    <n v="6171"/>
    <x v="0"/>
    <n v="39"/>
    <x v="0"/>
    <s v="provozní náklady staveb. archivu"/>
    <n v="710"/>
    <n v="709.39016000000004"/>
    <n v="742"/>
    <n v="742"/>
  </r>
  <r>
    <n v="3979"/>
    <n v="2221"/>
    <x v="3"/>
    <n v="39"/>
    <x v="0"/>
    <s v="dopravní terminál Dolní nádraží - příspěvek"/>
    <n v="1920"/>
    <n v="1920"/>
    <n v="2280"/>
    <n v="2280"/>
  </r>
  <r>
    <n v="509"/>
    <n v="3429"/>
    <x v="6"/>
    <n v="39"/>
    <x v="0"/>
    <s v="areál Rolava - provozní výdaje"/>
    <n v="5841"/>
    <n v="8465.155999999999"/>
    <n v="5083"/>
    <n v="8189"/>
  </r>
  <r>
    <n v="3625"/>
    <n v="3429"/>
    <x v="6"/>
    <n v="39"/>
    <x v="0"/>
    <s v="Bohatice - skatepark - provozní výdaje"/>
    <n v="348"/>
    <n v="448"/>
    <n v="579"/>
    <n v="579"/>
  </r>
  <r>
    <n v="4029"/>
    <s v="3613,311x"/>
    <x v="4"/>
    <n v="39"/>
    <x v="0"/>
    <s v="aktualizace energetických auditů"/>
    <n v="200"/>
    <n v="1350"/>
    <n v="1300"/>
    <n v="1300"/>
  </r>
  <r>
    <n v="560"/>
    <n v="3429"/>
    <x v="6"/>
    <n v="39"/>
    <x v="0"/>
    <s v="revitalizace letního kina"/>
    <n v="6756"/>
    <n v="4449.71425"/>
    <n v="3145"/>
    <n v="3145"/>
  </r>
  <r>
    <n v="3903"/>
    <n v="3613"/>
    <x v="4"/>
    <n v="39"/>
    <x v="0"/>
    <s v=" rekonstrukce Lázeňská 14 - Infocentrum"/>
    <n v="0"/>
    <n v="730.81399999999996"/>
    <n v="0"/>
    <n v="0"/>
  </r>
  <r>
    <n v="3821"/>
    <n v="3611"/>
    <x v="4"/>
    <n v="39"/>
    <x v="0"/>
    <s v="půjčky z FRB"/>
    <n v="0"/>
    <n v="0"/>
    <n v="0"/>
    <n v="0"/>
  </r>
  <r>
    <n v="3505"/>
    <n v="2141"/>
    <x v="7"/>
    <n v="39"/>
    <x v="0"/>
    <s v="farmářské trhy"/>
    <n v="450"/>
    <n v="450"/>
    <n v="380"/>
    <n v="380"/>
  </r>
  <r>
    <n v="289"/>
    <n v="3612"/>
    <x v="4"/>
    <n v="39"/>
    <x v="1"/>
    <s v="technické zhodnocení budov "/>
    <n v="2500"/>
    <n v="2500"/>
    <n v="1000"/>
    <n v="1000"/>
  </r>
  <r>
    <n v="3901"/>
    <n v="3639"/>
    <x v="4"/>
    <n v="39"/>
    <x v="1"/>
    <s v="směny pozemků - doplatky při směně pozemků"/>
    <n v="300"/>
    <n v="300"/>
    <n v="500"/>
    <n v="500"/>
  </r>
  <r>
    <n v="2857"/>
    <n v="3699"/>
    <x v="4"/>
    <n v="39"/>
    <x v="1"/>
    <s v="dofakturace - nákup kabelové trasy pro datovou síť"/>
    <n v="0"/>
    <n v="1058.76"/>
    <n v="0"/>
    <n v="734.76"/>
  </r>
  <r>
    <n v="3971"/>
    <n v="2212"/>
    <x v="3"/>
    <n v="39"/>
    <x v="1"/>
    <s v="majetkoprávní vypořádání - rek.komunikací"/>
    <n v="1200"/>
    <n v="1200"/>
    <n v="450"/>
    <n v="450"/>
  </r>
  <r>
    <n v="522"/>
    <n v="3613"/>
    <x v="4"/>
    <n v="39"/>
    <x v="1"/>
    <s v="Městské divadlo"/>
    <n v="0"/>
    <n v="3701"/>
    <n v="500"/>
    <n v="620"/>
  </r>
  <r>
    <n v="761"/>
    <n v="3613"/>
    <x v="4"/>
    <n v="39"/>
    <x v="1"/>
    <s v="budovy, haly, stavby - nebytové domy"/>
    <n v="7200"/>
    <n v="9372.003349999999"/>
    <n v="7700"/>
    <n v="7700"/>
  </r>
  <r>
    <n v="2840"/>
    <n v="3613"/>
    <x v="4"/>
    <n v="39"/>
    <x v="1"/>
    <s v="tech. zhodnocení objektů hasičských zbrojnic"/>
    <n v="950"/>
    <n v="950"/>
    <n v="600"/>
    <n v="600"/>
  </r>
  <r>
    <n v="2842"/>
    <s v="311x"/>
    <x v="8"/>
    <n v="39"/>
    <x v="1"/>
    <s v="technické zhodnocení - objekty MŠ a ZŠ"/>
    <n v="8500"/>
    <n v="9940.08"/>
    <n v="4810"/>
    <n v="5550"/>
  </r>
  <r>
    <n v="2845"/>
    <n v="3699"/>
    <x v="4"/>
    <n v="39"/>
    <x v="1"/>
    <s v="nespecifikované výkupy - pozemky"/>
    <n v="1000"/>
    <n v="1000"/>
    <n v="1550"/>
    <n v="1550"/>
  </r>
  <r>
    <n v="2857"/>
    <n v="3699"/>
    <x v="4"/>
    <n v="39"/>
    <x v="1"/>
    <s v="nespecifikované výkupy - nemovitosti"/>
    <n v="4500"/>
    <n v="4500"/>
    <n v="850"/>
    <n v="850"/>
  </r>
  <r>
    <n v="2869"/>
    <s v="311x"/>
    <x v="8"/>
    <n v="39"/>
    <x v="1"/>
    <s v="zhodnocení budov z energ. auditů ZŠ, MŠ"/>
    <n v="15700"/>
    <n v="13685"/>
    <n v="4940"/>
    <n v="12266"/>
  </r>
  <r>
    <n v="560"/>
    <n v="3613"/>
    <x v="4"/>
    <n v="39"/>
    <x v="1"/>
    <s v="Letní kino"/>
    <n v="0"/>
    <n v="50"/>
    <n v="1100"/>
    <n v="1100"/>
  </r>
  <r>
    <n v="509"/>
    <n v="3429"/>
    <x v="6"/>
    <n v="39"/>
    <x v="1"/>
    <s v="areál ROLAVA"/>
    <n v="50"/>
    <n v="221.29021999999998"/>
    <n v="8100"/>
    <n v="8699"/>
  </r>
  <r>
    <n v="3625"/>
    <n v="3429"/>
    <x v="6"/>
    <n v="39"/>
    <x v="1"/>
    <s v="Bohatice - skatepark "/>
    <n v="0"/>
    <n v="0"/>
    <n v="2500"/>
    <n v="2500"/>
  </r>
  <r>
    <m/>
    <s v="22xx"/>
    <x v="3"/>
    <n v="39"/>
    <x v="1"/>
    <s v="Dopravní terminál Dolního nádr.-inform.tabule"/>
    <n v="0"/>
    <n v="450"/>
    <n v="0"/>
    <n v="260"/>
  </r>
  <r>
    <n v="3905"/>
    <n v="2219"/>
    <x v="3"/>
    <n v="39"/>
    <x v="1"/>
    <s v="Cyklost. Doubí-Dvorský most-výkup pozemků"/>
    <n v="2700"/>
    <n v="2700"/>
    <n v="700"/>
    <n v="700"/>
  </r>
  <r>
    <n v="3972"/>
    <n v="3613"/>
    <x v="4"/>
    <n v="39"/>
    <x v="1"/>
    <s v="rek. Lidového domu Stará Role"/>
    <n v="23000"/>
    <n v="9630"/>
    <n v="2000"/>
    <n v="11394"/>
  </r>
  <r>
    <n v="3903"/>
    <n v="3613"/>
    <x v="4"/>
    <n v="39"/>
    <x v="1"/>
    <s v="rekonstrukce Lázeňská 14 - Infocentrum"/>
    <n v="0"/>
    <n v="8804.2141300000003"/>
    <n v="0"/>
    <n v="0"/>
  </r>
  <r>
    <n v="9521"/>
    <n v="3429"/>
    <x v="6"/>
    <n v="39"/>
    <x v="1"/>
    <s v="zahrádky, garáže"/>
    <n v="0"/>
    <n v="2341"/>
    <n v="400"/>
    <n v="400"/>
  </r>
  <r>
    <m/>
    <n v="2141"/>
    <x v="7"/>
    <n v="39"/>
    <x v="1"/>
    <s v="rekonstrukce tržních krámků"/>
    <n v="0"/>
    <n v="0"/>
    <n v="8500"/>
    <n v="8500"/>
  </r>
  <r>
    <m/>
    <n v="3319"/>
    <x v="5"/>
    <n v="39"/>
    <x v="1"/>
    <s v="Hvězdárna - TZ budovy"/>
    <n v="0"/>
    <n v="0"/>
    <n v="850"/>
    <n v="850"/>
  </r>
  <r>
    <n v="2838"/>
    <n v="3612"/>
    <x v="4"/>
    <n v="39"/>
    <x v="1"/>
    <s v="Komenského - bydlení pro mladé"/>
    <n v="4000"/>
    <n v="4000"/>
    <n v="0"/>
    <n v="0"/>
  </r>
  <r>
    <n v="2839"/>
    <n v="3613"/>
    <x v="4"/>
    <n v="39"/>
    <x v="1"/>
    <s v="Galerie umění - rekonstrukce střechy a světlopropustných otvorů"/>
    <n v="3500"/>
    <n v="3500"/>
    <n v="0"/>
    <n v="3590"/>
  </r>
  <r>
    <n v="3920"/>
    <n v="3612"/>
    <x v="4"/>
    <n v="39"/>
    <x v="1"/>
    <s v="přesun z r.2012-střešní konstrukce St. Kysibelská"/>
    <n v="7000"/>
    <n v="0"/>
    <n v="0"/>
    <n v="0"/>
  </r>
  <r>
    <n v="3920"/>
    <n v="3612"/>
    <x v="4"/>
    <n v="39"/>
    <x v="1"/>
    <s v="střešní konstrukce St. Kysibelská"/>
    <n v="5000"/>
    <n v="0"/>
    <n v="0"/>
    <n v="0"/>
  </r>
  <r>
    <n v="2880"/>
    <s v="3699"/>
    <x v="4"/>
    <n v="39"/>
    <x v="1"/>
    <s v="Revitalizace území Vřídelní ulice - kamenolom"/>
    <m/>
    <m/>
    <n v="0"/>
    <n v="481"/>
  </r>
  <r>
    <n v="2836"/>
    <n v="3699"/>
    <x v="4"/>
    <n v="39"/>
    <x v="1"/>
    <s v="výkup K centrum"/>
    <n v="4000"/>
    <n v="4000"/>
    <n v="0"/>
    <n v="438.88200000000001"/>
  </r>
  <r>
    <n v="2837"/>
    <n v="3699"/>
    <x v="4"/>
    <n v="39"/>
    <x v="1"/>
    <s v="dohoda o narovnání s VaK K.Vary"/>
    <n v="11000"/>
    <n v="11000"/>
    <n v="0"/>
    <n v="0"/>
  </r>
  <r>
    <n v="3919"/>
    <n v="3319"/>
    <x v="5"/>
    <n v="39"/>
    <x v="1"/>
    <s v="Hvězdárna-nákup a instalace dalekohledu"/>
    <n v="0"/>
    <n v="180"/>
    <n v="0"/>
    <n v="0"/>
  </r>
  <r>
    <s v="4100,0297,0262,2874"/>
    <s v="3639,6171,3322,2144,3329,3699"/>
    <x v="0"/>
    <n v="41"/>
    <x v="0"/>
    <s v="členské příspěvky"/>
    <n v="1301"/>
    <n v="1459.7820000000002"/>
    <n v="1908"/>
    <n v="1908"/>
  </r>
  <r>
    <s v="4100,4343"/>
    <n v="3639.6399000000001"/>
    <x v="0"/>
    <n v="41"/>
    <x v="0"/>
    <s v="platba daní a poplatků"/>
    <n v="9211"/>
    <n v="55732.05371"/>
    <n v="50100"/>
    <n v="50100"/>
  </r>
  <r>
    <n v="4100"/>
    <s v="6171,6310,6399,6409,6402,3429"/>
    <x v="0"/>
    <n v="41"/>
    <x v="0"/>
    <s v="ostatní výdaje OFE "/>
    <n v="20389"/>
    <n v="20587.25995"/>
    <n v="25454"/>
    <n v="25454"/>
  </r>
  <r>
    <n v="4100"/>
    <n v="3113"/>
    <x v="8"/>
    <n v="41"/>
    <x v="0"/>
    <s v="neinv.půjčené prostředky PO ZŠ jazyků"/>
    <n v="0"/>
    <n v="250"/>
    <n v="0"/>
    <n v="0"/>
  </r>
  <r>
    <n v="4100"/>
    <n v="6171"/>
    <x v="0"/>
    <n v="41"/>
    <x v="0"/>
    <s v="povinné rezervy, mimoř. výdaje města"/>
    <n v="2000"/>
    <n v="1500"/>
    <n v="2000"/>
    <n v="2000"/>
  </r>
  <r>
    <n v="4100"/>
    <n v="6171"/>
    <x v="0"/>
    <n v="41"/>
    <x v="0"/>
    <s v="konzult., poradenské a právní sl. pro OVAK"/>
    <n v="100"/>
    <n v="100"/>
    <n v="100"/>
    <n v="100"/>
  </r>
  <r>
    <n v="4100"/>
    <n v="6171"/>
    <x v="0"/>
    <n v="41"/>
    <x v="1"/>
    <s v=" tech.zařízení pro výběr míst.popl. za povolení k vjezdu"/>
    <n v="0"/>
    <n v="111"/>
    <n v="0"/>
    <n v="0"/>
  </r>
  <r>
    <n v="4100"/>
    <n v="1031"/>
    <x v="2"/>
    <n v="41"/>
    <x v="1"/>
    <s v="investiční půjčené prostředky PO Lázeňské Lesy na projekt &quot;Příroda spojuje - sv. Linhart&quot;"/>
    <n v="9000"/>
    <n v="12065.3807"/>
    <n v="0"/>
    <n v="0"/>
  </r>
  <r>
    <n v="7072"/>
    <n v="1031"/>
    <x v="2"/>
    <n v="41"/>
    <x v="1"/>
    <s v="investiční půjčené prostředky PO Lázeňské Lesy (předfinancování projektu &quot;Branaldova stezka&quot;)"/>
    <n v="0"/>
    <n v="0"/>
    <n v="9480.51"/>
    <n v="9480.51"/>
  </r>
  <r>
    <n v="7070"/>
    <n v="3745"/>
    <x v="2"/>
    <n v="41"/>
    <x v="1"/>
    <s v="investiční půjčené prostředky PO Správa lázeňských parků (předfinancování projektu &quot;Hofské parky&quot;)"/>
    <n v="0"/>
    <n v="0"/>
    <n v="7480"/>
    <n v="7480"/>
  </r>
  <r>
    <n v="4300"/>
    <n v="6223"/>
    <x v="0"/>
    <n v="43"/>
    <x v="0"/>
    <s v="neinv.transfery - podpora aktivit k part.městům,láz.,cest.ruch"/>
    <n v="500"/>
    <n v="500"/>
    <n v="500"/>
    <n v="500"/>
  </r>
  <r>
    <s v="4300,5210"/>
    <n v="6171"/>
    <x v="0"/>
    <n v="43"/>
    <x v="0"/>
    <s v="OKP - ostatní běžné výdaje odboru"/>
    <n v="5785"/>
    <n v="5785"/>
    <n v="5017"/>
    <n v="5017"/>
  </r>
  <r>
    <n v="2873"/>
    <n v="2141"/>
    <x v="7"/>
    <n v="43"/>
    <x v="0"/>
    <s v="Infocentrum města K.Vary,o.p.s. - neinv.tr."/>
    <n v="16011.26"/>
    <n v="17042.087499999998"/>
    <n v="15000"/>
    <n v="15000"/>
  </r>
  <r>
    <n v="1101"/>
    <n v="6171"/>
    <x v="0"/>
    <n v="43"/>
    <x v="0"/>
    <s v="Karlovarské radniční listy (KRL)"/>
    <n v="1500"/>
    <n v="1500"/>
    <n v="1500"/>
    <n v="1500"/>
  </r>
  <r>
    <n v="4300"/>
    <n v="3533"/>
    <x v="10"/>
    <n v="43"/>
    <x v="1"/>
    <s v="inv.tr. - Zdrav.záchr.služby KK - přístroj"/>
    <n v="0"/>
    <n v="0"/>
    <n v="100"/>
    <n v="100"/>
  </r>
  <r>
    <n v="7010"/>
    <n v="1014"/>
    <x v="2"/>
    <n v="70"/>
    <x v="0"/>
    <s v="veterinární péče (útulek pro domácí zvířata)"/>
    <n v="928"/>
    <n v="928"/>
    <n v="916"/>
    <n v="916"/>
  </r>
  <r>
    <n v="7023"/>
    <s v="372x"/>
    <x v="2"/>
    <n v="70"/>
    <x v="0"/>
    <s v="nakládání s odpadem"/>
    <n v="39070"/>
    <n v="44276"/>
    <n v="38990"/>
    <n v="38990"/>
  </r>
  <r>
    <n v="7024"/>
    <n v="2219"/>
    <x v="3"/>
    <n v="70"/>
    <x v="0"/>
    <s v="DPKV a.s. mandátní smlouva - park. Automaty"/>
    <n v="2300"/>
    <n v="2584"/>
    <n v="2600"/>
    <n v="2600"/>
  </r>
  <r>
    <n v="7090"/>
    <n v="2229"/>
    <x v="3"/>
    <n v="70"/>
    <x v="0"/>
    <s v="platby za odtahy vozidel a služ. souv."/>
    <n v="1300"/>
    <n v="1300"/>
    <n v="1100"/>
    <n v="1100"/>
  </r>
  <r>
    <n v="7080"/>
    <n v="2212"/>
    <x v="3"/>
    <n v="70"/>
    <x v="0"/>
    <s v="Silnice "/>
    <n v="31406"/>
    <n v="33406.373460000003"/>
    <n v="21663"/>
    <n v="21966"/>
  </r>
  <r>
    <n v="7082"/>
    <n v="2212"/>
    <x v="3"/>
    <n v="70"/>
    <x v="0"/>
    <s v="Silnice - čištění, zimní údržba komunikací"/>
    <n v="36000"/>
    <n v="36000"/>
    <n v="35000"/>
    <n v="35000"/>
  </r>
  <r>
    <n v="7078"/>
    <n v="3631"/>
    <x v="4"/>
    <n v="70"/>
    <x v="0"/>
    <s v="VO - veřejné osvětlení -  celkem"/>
    <n v="18610"/>
    <n v="17536.631970000002"/>
    <n v="18300"/>
    <n v="18300"/>
  </r>
  <r>
    <n v="7070"/>
    <n v="1031"/>
    <x v="2"/>
    <n v="70"/>
    <x v="0"/>
    <s v="PO LL - neinvest.příspěvek města"/>
    <n v="5000"/>
    <n v="5633.009"/>
    <n v="5000"/>
    <n v="5000"/>
  </r>
  <r>
    <n v="7070"/>
    <n v="1031"/>
    <x v="2"/>
    <n v="70"/>
    <x v="0"/>
    <s v="PO LL - neinv.tr. na projekt Sv.Linhart"/>
    <n v="0"/>
    <n v="23.645669999999999"/>
    <n v="0"/>
    <n v="0"/>
  </r>
  <r>
    <n v="7072"/>
    <n v="3745"/>
    <x v="2"/>
    <n v="70"/>
    <x v="0"/>
    <s v="PO SLP - neinvest.příspěvek města"/>
    <n v="23900"/>
    <n v="24282.560000000001"/>
    <n v="25300"/>
    <n v="25300"/>
  </r>
  <r>
    <n v="7072"/>
    <n v="3745"/>
    <x v="2"/>
    <n v="70"/>
    <x v="0"/>
    <s v="PO SLP - neinv.tr. na projekt Karlovarská zahrada"/>
    <n v="0"/>
    <n v="38.590910000000001"/>
    <n v="0"/>
    <n v="0"/>
  </r>
  <r>
    <n v="7077"/>
    <n v="3599"/>
    <x v="10"/>
    <n v="70"/>
    <x v="0"/>
    <s v="PO SPLZaK - neinvest.příspěvek města"/>
    <n v="6000"/>
    <n v="6000"/>
    <n v="6000"/>
    <n v="6000"/>
  </r>
  <r>
    <n v="7010"/>
    <n v="1014"/>
    <x v="2"/>
    <n v="70"/>
    <x v="1"/>
    <s v="veterinární péče  - domek na nářadá"/>
    <m/>
    <m/>
    <n v="0"/>
    <n v="71"/>
  </r>
  <r>
    <n v="7022"/>
    <n v="2212"/>
    <x v="3"/>
    <n v="70"/>
    <x v="1"/>
    <s v="parkoviště"/>
    <n v="2300"/>
    <n v="6772.424"/>
    <n v="2000"/>
    <n v="2000"/>
  </r>
  <r>
    <n v="2801"/>
    <n v="3631"/>
    <x v="4"/>
    <n v="70"/>
    <x v="1"/>
    <s v="VO (veřejné osvětlení) - projektová dokument."/>
    <n v="250"/>
    <n v="250"/>
    <n v="250"/>
    <n v="250"/>
  </r>
  <r>
    <n v="7086"/>
    <n v="3631"/>
    <x v="4"/>
    <n v="70"/>
    <x v="1"/>
    <s v="přesun z r.2012 - VO K přehradě"/>
    <n v="0"/>
    <n v="350"/>
    <n v="0"/>
    <n v="306"/>
  </r>
  <r>
    <n v="7087"/>
    <n v="3631"/>
    <x v="4"/>
    <n v="70"/>
    <x v="1"/>
    <s v="VO B.Němcové"/>
    <n v="862"/>
    <n v="862"/>
    <n v="0"/>
    <n v="774"/>
  </r>
  <r>
    <m/>
    <n v="3631"/>
    <x v="4"/>
    <n v="70"/>
    <x v="1"/>
    <s v="VO Doubí - Nová"/>
    <n v="382"/>
    <n v="832"/>
    <n v="832"/>
    <n v="832"/>
  </r>
  <r>
    <m/>
    <n v="3631"/>
    <x v="4"/>
    <n v="70"/>
    <x v="1"/>
    <s v="přesun z r. 2012 - VO Sedlec"/>
    <n v="0"/>
    <n v="232.12682000000001"/>
    <n v="0"/>
    <n v="0"/>
  </r>
  <r>
    <m/>
    <n v="3631"/>
    <x v="4"/>
    <n v="70"/>
    <x v="1"/>
    <s v="VO Na Průhoně"/>
    <n v="487"/>
    <n v="487"/>
    <n v="0"/>
    <n v="400"/>
  </r>
  <r>
    <m/>
    <n v="3631"/>
    <x v="4"/>
    <n v="70"/>
    <x v="1"/>
    <s v="přesun z r.2012 - VO Pod Jelením skokem"/>
    <n v="0"/>
    <n v="792.8"/>
    <n v="0"/>
    <n v="700"/>
  </r>
  <r>
    <m/>
    <n v="3631"/>
    <x v="4"/>
    <n v="70"/>
    <x v="1"/>
    <s v="VO Sportovní"/>
    <n v="2300"/>
    <n v="2300"/>
    <n v="0"/>
    <n v="1500"/>
  </r>
  <r>
    <m/>
    <n v="3631"/>
    <x v="4"/>
    <n v="70"/>
    <x v="1"/>
    <s v="VO K Linhartu"/>
    <n v="1050"/>
    <n v="1050"/>
    <n v="0"/>
    <n v="0"/>
  </r>
  <r>
    <m/>
    <n v="3631"/>
    <x v="4"/>
    <n v="70"/>
    <x v="1"/>
    <s v="VO Mattoniho nábř."/>
    <n v="1350"/>
    <n v="1350"/>
    <n v="0"/>
    <n v="1282"/>
  </r>
  <r>
    <m/>
    <n v="3631"/>
    <x v="4"/>
    <n v="70"/>
    <x v="1"/>
    <s v="VO Varšavská"/>
    <n v="540"/>
    <n v="540"/>
    <n v="0"/>
    <n v="301"/>
  </r>
  <r>
    <m/>
    <n v="3631"/>
    <x v="4"/>
    <n v="70"/>
    <x v="1"/>
    <s v="přesun z r.2012 - VO Zahradní ulice"/>
    <n v="0"/>
    <n v="1000"/>
    <n v="0"/>
    <n v="432"/>
  </r>
  <r>
    <m/>
    <n v="3631"/>
    <x v="4"/>
    <n v="70"/>
    <x v="1"/>
    <s v="VO Na Stezce"/>
    <n v="0"/>
    <n v="0"/>
    <n v="250"/>
    <n v="250"/>
  </r>
  <r>
    <m/>
    <n v="3631"/>
    <x v="4"/>
    <n v="70"/>
    <x v="1"/>
    <s v="VO Plzeňská"/>
    <n v="0"/>
    <n v="0"/>
    <n v="1500"/>
    <n v="1500"/>
  </r>
  <r>
    <m/>
    <n v="3631"/>
    <x v="4"/>
    <n v="70"/>
    <x v="1"/>
    <s v="VO výměna rozvaděčů"/>
    <n v="0"/>
    <n v="0"/>
    <n v="500"/>
    <n v="500"/>
  </r>
  <r>
    <n v="7059"/>
    <n v="2212"/>
    <x v="3"/>
    <n v="70"/>
    <x v="1"/>
    <s v="Silnice - PD"/>
    <n v="100"/>
    <n v="100"/>
    <n v="0"/>
    <n v="0"/>
  </r>
  <r>
    <n v="7070"/>
    <n v="1031"/>
    <x v="2"/>
    <n v="70"/>
    <x v="1"/>
    <s v="PO LL - Příroda spojuje-Sv.Linhart"/>
    <n v="4500"/>
    <n v="4500"/>
    <n v="0"/>
    <n v="0"/>
  </r>
  <r>
    <n v="7070"/>
    <n v="1031"/>
    <x v="2"/>
    <n v="70"/>
    <x v="1"/>
    <s v="PO LL - lanový park &quot;U Linharta&quot;"/>
    <n v="1600"/>
    <n v="1600"/>
    <n v="0"/>
    <n v="0"/>
  </r>
  <r>
    <n v="7070"/>
    <n v="1031"/>
    <x v="2"/>
    <n v="70"/>
    <x v="1"/>
    <s v="PO LL - manipulační sklad-stroj.vybavení"/>
    <n v="0"/>
    <n v="0"/>
    <n v="500"/>
    <n v="500"/>
  </r>
  <r>
    <n v="7070"/>
    <n v="1031"/>
    <x v="2"/>
    <n v="70"/>
    <x v="1"/>
    <s v="PO LL - inv.tr. na projekt Sv.Linhart"/>
    <n v="0"/>
    <n v="75.314920000000001"/>
    <n v="0"/>
    <n v="0"/>
  </r>
  <r>
    <n v="7070"/>
    <n v="1031"/>
    <x v="2"/>
    <n v="70"/>
    <x v="1"/>
    <s v="PO LL - Branaldova stezka"/>
    <n v="0"/>
    <n v="0"/>
    <n v="1053"/>
    <n v="1053"/>
  </r>
  <r>
    <n v="7077"/>
    <n v="3599"/>
    <x v="10"/>
    <n v="70"/>
    <x v="1"/>
    <s v="PO SPLZaK - podlaží haly Fontány-Vříd.kol."/>
    <n v="1000"/>
    <n v="1000"/>
    <n v="0"/>
    <n v="824.58299999999997"/>
  </r>
  <r>
    <n v="7077"/>
    <n v="3599"/>
    <x v="10"/>
    <n v="70"/>
    <x v="1"/>
    <s v="PO SPLZaK - příprava nového jímání Vřídla PD"/>
    <n v="0"/>
    <n v="0"/>
    <n v="300"/>
    <n v="300"/>
  </r>
  <r>
    <n v="7077"/>
    <n v="3599"/>
    <x v="10"/>
    <n v="70"/>
    <x v="1"/>
    <s v="PO SPLZaK - moder.monit.syst.režim.měření"/>
    <n v="200"/>
    <n v="200"/>
    <n v="300"/>
    <n v="300"/>
  </r>
  <r>
    <n v="7077"/>
    <n v="3599"/>
    <x v="10"/>
    <n v="70"/>
    <x v="1"/>
    <s v="PO SPLZaK - obnova hlavního zásob.řádu"/>
    <n v="8000"/>
    <n v="8000"/>
    <n v="0"/>
    <n v="0"/>
  </r>
  <r>
    <n v="7077"/>
    <n v="3599"/>
    <x v="10"/>
    <n v="70"/>
    <x v="1"/>
    <s v="PO SPLZaK - havarijní stav akumulnádrže a krenotechniky"/>
    <n v="0"/>
    <n v="2650"/>
    <n v="2200"/>
    <n v="4850"/>
  </r>
  <r>
    <n v="7072"/>
    <n v="3745"/>
    <x v="2"/>
    <n v="70"/>
    <x v="1"/>
    <s v="PO SLP - inv.transf.-obnova stroj.parku"/>
    <n v="1900"/>
    <n v="1900"/>
    <n v="0"/>
    <n v="0"/>
  </r>
  <r>
    <n v="7072"/>
    <n v="3745"/>
    <x v="2"/>
    <n v="70"/>
    <x v="1"/>
    <s v="PO SLP - Karlovarská dendrologická stezka - sadové úpravy"/>
    <n v="7000"/>
    <n v="7000"/>
    <n v="0"/>
    <n v="7000"/>
  </r>
  <r>
    <n v="7072"/>
    <n v="3745"/>
    <x v="2"/>
    <n v="70"/>
    <x v="1"/>
    <s v="PO SLP - Revitalizace hřbitova v Drahovicích"/>
    <n v="4600"/>
    <n v="4600"/>
    <n v="0"/>
    <n v="4600"/>
  </r>
  <r>
    <n v="7072"/>
    <n v="3745"/>
    <x v="2"/>
    <n v="70"/>
    <x v="1"/>
    <s v="PO SLP - vytápění areálu SLP"/>
    <n v="3500"/>
    <n v="3500"/>
    <n v="0"/>
    <n v="2500"/>
  </r>
  <r>
    <n v="7072"/>
    <n v="3745"/>
    <x v="2"/>
    <n v="70"/>
    <x v="1"/>
    <s v="PO SLP - rozšíření urnových míst - Růžový vrch"/>
    <n v="350"/>
    <n v="350"/>
    <n v="0"/>
    <n v="0"/>
  </r>
  <r>
    <n v="7072"/>
    <n v="3745"/>
    <x v="2"/>
    <n v="70"/>
    <x v="1"/>
    <s v="PO SLP - vysavač na psí exkrementy"/>
    <n v="200"/>
    <n v="200"/>
    <n v="0"/>
    <n v="0"/>
  </r>
  <r>
    <n v="7072"/>
    <n v="3745"/>
    <x v="2"/>
    <n v="70"/>
    <x v="1"/>
    <s v="PO SLP - náves Tašovice"/>
    <n v="0"/>
    <n v="425.91899999999998"/>
    <n v="0"/>
    <n v="0"/>
  </r>
  <r>
    <n v="7072"/>
    <n v="3745"/>
    <x v="2"/>
    <n v="70"/>
    <x v="1"/>
    <s v="PO SLP - samosběr (dotace)"/>
    <n v="4500"/>
    <n v="4500"/>
    <n v="0"/>
    <n v="4500"/>
  </r>
  <r>
    <n v="7072"/>
    <n v="3745"/>
    <x v="2"/>
    <n v="70"/>
    <x v="1"/>
    <s v="PO SLP - Hofské parky"/>
    <n v="0"/>
    <n v="0"/>
    <n v="860"/>
    <n v="860"/>
  </r>
  <r>
    <n v="7072"/>
    <n v="3745"/>
    <x v="2"/>
    <n v="70"/>
    <x v="1"/>
    <s v="PO SLP - Rek. kolumbárií Růžový vrch - I.etapa"/>
    <n v="0"/>
    <n v="0"/>
    <n v="1200"/>
    <n v="1200"/>
  </r>
  <r>
    <n v="7072"/>
    <n v="3745"/>
    <x v="2"/>
    <n v="70"/>
    <x v="1"/>
    <s v="PO SLP - Rek. kolumbárií Růžový vrch - II.etapa"/>
    <n v="0"/>
    <n v="0"/>
    <n v="1000"/>
    <n v="1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 2" cacheId="4" applyNumberFormats="0" applyBorderFormats="0" applyFontFormats="0" applyPatternFormats="0" applyAlignmentFormats="0" applyWidthHeightFormats="1" dataCaption="Hodnoty" updatedVersion="3" minRefreshableVersion="3" showCalcMbrs="0" useAutoFormatting="1" itemPrintTitles="1" createdVersion="3" indent="0" showHeaders="0" outline="1" outlineData="1" multipleFieldFilters="0">
  <location ref="A3:C36" firstHeaderRow="0" firstDataRow="1" firstDataCol="1"/>
  <pivotFields count="10">
    <pivotField showAll="0"/>
    <pivotField showAll="0"/>
    <pivotField axis="axisRow" showAll="0">
      <items count="12">
        <item x="1"/>
        <item x="4"/>
        <item x="3"/>
        <item x="7"/>
        <item x="5"/>
        <item x="2"/>
        <item x="9"/>
        <item x="6"/>
        <item x="0"/>
        <item x="8"/>
        <item x="10"/>
        <item t="default"/>
      </items>
    </pivotField>
    <pivotField numFmtId="166"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dataField="1" showAll="0"/>
    <pivotField dataField="1" showAll="0"/>
  </pivotFields>
  <rowFields count="2">
    <field x="2"/>
    <field x="4"/>
  </rowFields>
  <rowItems count="33">
    <i>
      <x/>
    </i>
    <i r="1">
      <x/>
    </i>
    <i r="1">
      <x v="1"/>
    </i>
    <i>
      <x v="1"/>
    </i>
    <i r="1">
      <x/>
    </i>
    <i r="1">
      <x v="1"/>
    </i>
    <i>
      <x v="2"/>
    </i>
    <i r="1">
      <x/>
    </i>
    <i r="1">
      <x v="1"/>
    </i>
    <i>
      <x v="3"/>
    </i>
    <i r="1">
      <x/>
    </i>
    <i r="1">
      <x v="1"/>
    </i>
    <i>
      <x v="4"/>
    </i>
    <i r="1">
      <x/>
    </i>
    <i r="1">
      <x v="1"/>
    </i>
    <i>
      <x v="5"/>
    </i>
    <i r="1">
      <x/>
    </i>
    <i r="1">
      <x v="1"/>
    </i>
    <i>
      <x v="6"/>
    </i>
    <i r="1">
      <x/>
    </i>
    <i>
      <x v="7"/>
    </i>
    <i r="1">
      <x/>
    </i>
    <i r="1">
      <x v="1"/>
    </i>
    <i>
      <x v="8"/>
    </i>
    <i r="1">
      <x/>
    </i>
    <i r="1">
      <x v="1"/>
    </i>
    <i>
      <x v="9"/>
    </i>
    <i r="1">
      <x/>
    </i>
    <i r="1">
      <x v="1"/>
    </i>
    <i>
      <x v="10"/>
    </i>
    <i r="1">
      <x/>
    </i>
    <i r="1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oučet z Schválený rozpočet 2014 v tis. Kč" fld="8" baseField="0" baseItem="0"/>
    <dataField name="Součet z Upravený rozpočet 2014 v tis. Kč" fld="9" baseField="0" baseItem="0"/>
  </dataFields>
  <formats count="1">
    <format dxfId="1">
      <pivotArea outline="0" collapsedLevelsAreSubtotals="1" fieldPosition="0"/>
    </format>
  </formats>
  <pivotTableStyleInfo name="PivotStyleMedium3" showRowHeaders="1" showColHeaders="1" showRowStripes="0" showColStripes="1" showLastColumn="1"/>
</pivotTableDefinition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4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5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44"/>
  <sheetViews>
    <sheetView zoomScaleNormal="100" workbookViewId="0">
      <selection activeCell="R32" sqref="R32"/>
    </sheetView>
  </sheetViews>
  <sheetFormatPr defaultRowHeight="15"/>
  <cols>
    <col min="1" max="1" width="3.7109375" style="162" customWidth="1"/>
    <col min="2" max="2" width="9.42578125" style="162" customWidth="1"/>
    <col min="3" max="3" width="38.140625" style="1284" customWidth="1"/>
    <col min="4" max="5" width="0" style="162" hidden="1" customWidth="1"/>
    <col min="6" max="7" width="11.28515625" style="162" hidden="1" customWidth="1"/>
    <col min="8" max="8" width="12.42578125" style="162" hidden="1" customWidth="1"/>
    <col min="9" max="9" width="11.28515625" style="162" hidden="1" customWidth="1"/>
    <col min="10" max="10" width="14.42578125" style="162" customWidth="1"/>
    <col min="11" max="11" width="13.28515625" style="162" customWidth="1"/>
    <col min="12" max="14" width="13.5703125" style="162" customWidth="1"/>
    <col min="15" max="15" width="15" style="162" customWidth="1"/>
    <col min="16" max="16" width="12.85546875" style="1139" customWidth="1"/>
    <col min="17" max="17" width="9.140625" style="1140"/>
    <col min="18" max="18" width="9.140625" style="162"/>
    <col min="19" max="19" width="18.28515625" style="1141" bestFit="1" customWidth="1"/>
    <col min="20" max="16384" width="9.140625" style="162"/>
  </cols>
  <sheetData>
    <row r="1" spans="1:19" ht="35.25" customHeight="1">
      <c r="A1" s="1893" t="s">
        <v>1437</v>
      </c>
      <c r="B1" s="1893"/>
      <c r="C1" s="1893"/>
      <c r="D1" s="1893"/>
      <c r="E1" s="1893"/>
      <c r="F1" s="1893"/>
      <c r="G1" s="1893"/>
      <c r="H1" s="1893"/>
      <c r="I1" s="1893"/>
      <c r="J1" s="1893"/>
      <c r="K1" s="1893"/>
      <c r="L1" s="1893"/>
      <c r="M1" s="1893"/>
      <c r="N1" s="1893"/>
      <c r="O1" s="1893"/>
    </row>
    <row r="2" spans="1:19" ht="15.75" thickBot="1">
      <c r="A2" s="1142"/>
      <c r="B2" s="1143"/>
      <c r="C2" s="1144"/>
      <c r="D2" s="1142"/>
      <c r="E2" s="1142"/>
      <c r="F2" s="1142" t="s">
        <v>1355</v>
      </c>
      <c r="G2" s="1142"/>
      <c r="H2" s="1145"/>
      <c r="I2" s="1894" t="s">
        <v>1539</v>
      </c>
      <c r="J2" s="1894"/>
      <c r="K2" s="1894"/>
      <c r="L2" s="1894"/>
      <c r="M2" s="1894"/>
      <c r="N2" s="1894"/>
      <c r="O2" s="1894"/>
      <c r="P2" s="1894"/>
      <c r="Q2" s="1146"/>
    </row>
    <row r="3" spans="1:19" ht="34.5" thickBot="1">
      <c r="A3" s="1895" t="s">
        <v>1212</v>
      </c>
      <c r="B3" s="1896"/>
      <c r="C3" s="1897"/>
      <c r="D3" s="1147" t="s">
        <v>1356</v>
      </c>
      <c r="E3" s="1147" t="s">
        <v>1357</v>
      </c>
      <c r="F3" s="1147" t="s">
        <v>1358</v>
      </c>
      <c r="G3" s="1147" t="s">
        <v>1359</v>
      </c>
      <c r="H3" s="1147" t="s">
        <v>1360</v>
      </c>
      <c r="I3" s="1148" t="s">
        <v>1361</v>
      </c>
      <c r="J3" s="1148" t="s">
        <v>1256</v>
      </c>
      <c r="K3" s="1149" t="s">
        <v>43</v>
      </c>
      <c r="L3" s="1150" t="s">
        <v>1362</v>
      </c>
      <c r="M3" s="1868" t="s">
        <v>1537</v>
      </c>
      <c r="N3" s="1868" t="s">
        <v>1538</v>
      </c>
      <c r="O3" s="1147" t="s">
        <v>1363</v>
      </c>
      <c r="P3" s="1151" t="s">
        <v>1364</v>
      </c>
      <c r="Q3" s="1146"/>
    </row>
    <row r="4" spans="1:19" s="1159" customFormat="1" ht="16.5" thickBot="1">
      <c r="A4" s="1152" t="s">
        <v>1365</v>
      </c>
      <c r="B4" s="1898" t="s">
        <v>1366</v>
      </c>
      <c r="C4" s="1899"/>
      <c r="D4" s="1153">
        <v>339091</v>
      </c>
      <c r="E4" s="1154">
        <f t="shared" ref="E4:P4" si="0">D36</f>
        <v>509977</v>
      </c>
      <c r="F4" s="1155">
        <f t="shared" si="0"/>
        <v>727036</v>
      </c>
      <c r="G4" s="1155">
        <f t="shared" si="0"/>
        <v>463037</v>
      </c>
      <c r="H4" s="1156">
        <f t="shared" si="0"/>
        <v>542211</v>
      </c>
      <c r="I4" s="1157">
        <f t="shared" si="0"/>
        <v>530359</v>
      </c>
      <c r="J4" s="1155">
        <f t="shared" si="0"/>
        <v>302394.89999999991</v>
      </c>
      <c r="K4" s="1155">
        <f t="shared" si="0"/>
        <v>349297.89999999991</v>
      </c>
      <c r="L4" s="1155">
        <f t="shared" si="0"/>
        <v>141328.17599999998</v>
      </c>
      <c r="M4" s="1869">
        <f>349298</f>
        <v>349298</v>
      </c>
      <c r="N4" s="1869">
        <f>M36</f>
        <v>333261.27600000007</v>
      </c>
      <c r="O4" s="1154">
        <f>N36</f>
        <v>66222.681000000099</v>
      </c>
      <c r="P4" s="1158">
        <f t="shared" si="0"/>
        <v>52400.324000000022</v>
      </c>
      <c r="Q4" s="1140"/>
      <c r="S4" s="1160"/>
    </row>
    <row r="5" spans="1:19" ht="16.5" thickBot="1">
      <c r="A5" s="1900" t="s">
        <v>1367</v>
      </c>
      <c r="B5" s="1901"/>
      <c r="C5" s="1902"/>
      <c r="D5" s="1161"/>
      <c r="E5" s="1161"/>
      <c r="F5" s="1162"/>
      <c r="G5" s="1163"/>
      <c r="H5" s="1164"/>
      <c r="I5" s="1161"/>
      <c r="J5" s="1165"/>
      <c r="K5" s="1166"/>
      <c r="L5" s="1166"/>
      <c r="M5" s="1870"/>
      <c r="N5" s="1870"/>
      <c r="O5" s="1167"/>
      <c r="P5" s="1166"/>
    </row>
    <row r="6" spans="1:19">
      <c r="A6" s="1168" t="s">
        <v>1368</v>
      </c>
      <c r="B6" s="1169" t="s">
        <v>1369</v>
      </c>
      <c r="C6" s="1170" t="s">
        <v>1370</v>
      </c>
      <c r="D6" s="1171">
        <v>643212</v>
      </c>
      <c r="E6" s="1171">
        <v>669069</v>
      </c>
      <c r="F6" s="1172">
        <v>712287</v>
      </c>
      <c r="G6" s="1172">
        <v>635117</v>
      </c>
      <c r="H6" s="1172">
        <v>644107.5</v>
      </c>
      <c r="I6" s="1171">
        <v>654059</v>
      </c>
      <c r="J6" s="1172">
        <v>673671</v>
      </c>
      <c r="K6" s="1172">
        <v>738126</v>
      </c>
      <c r="L6" s="1172">
        <f>'Příjmy 2014 '!E29</f>
        <v>725520</v>
      </c>
      <c r="M6" s="1871">
        <v>738126</v>
      </c>
      <c r="N6" s="1871">
        <v>725520</v>
      </c>
      <c r="O6" s="1172">
        <f>(L6-50000-5000)*1.02</f>
        <v>683930.4</v>
      </c>
      <c r="P6" s="1173">
        <f>O6*1.02</f>
        <v>697609.00800000003</v>
      </c>
    </row>
    <row r="7" spans="1:19">
      <c r="A7" s="1174" t="s">
        <v>1371</v>
      </c>
      <c r="B7" s="1175" t="s">
        <v>1372</v>
      </c>
      <c r="C7" s="1176" t="s">
        <v>1373</v>
      </c>
      <c r="D7" s="1177">
        <v>77797</v>
      </c>
      <c r="E7" s="1177">
        <v>76795</v>
      </c>
      <c r="F7" s="1178">
        <f>93820</f>
        <v>93820</v>
      </c>
      <c r="G7" s="1178">
        <v>253560</v>
      </c>
      <c r="H7" s="1178">
        <v>153738</v>
      </c>
      <c r="I7" s="1178">
        <v>81867.740000000005</v>
      </c>
      <c r="J7" s="1178">
        <v>81991</v>
      </c>
      <c r="K7" s="1178">
        <f>102718+11000</f>
        <v>113718</v>
      </c>
      <c r="L7" s="1178">
        <f>'Příjmy 2014 '!E60+11000</f>
        <v>102795</v>
      </c>
      <c r="M7" s="1872">
        <v>113718</v>
      </c>
      <c r="N7" s="1872">
        <v>102795</v>
      </c>
      <c r="O7" s="1178">
        <f>(L7-11000)*1.01+11000</f>
        <v>103712.95</v>
      </c>
      <c r="P7" s="1179">
        <f>(O7-11000)*1.01+11000</f>
        <v>104640.07949999999</v>
      </c>
    </row>
    <row r="8" spans="1:19">
      <c r="A8" s="1180"/>
      <c r="B8" s="1181"/>
      <c r="C8" s="1182" t="s">
        <v>1374</v>
      </c>
      <c r="D8" s="1183">
        <v>0</v>
      </c>
      <c r="E8" s="1183">
        <v>0</v>
      </c>
      <c r="F8" s="1184">
        <v>18</v>
      </c>
      <c r="G8" s="1184">
        <v>176040</v>
      </c>
      <c r="H8" s="1184">
        <v>10380</v>
      </c>
      <c r="I8" s="1183">
        <v>0</v>
      </c>
      <c r="J8" s="1185">
        <v>0</v>
      </c>
      <c r="K8" s="1185">
        <v>0</v>
      </c>
      <c r="L8" s="1185">
        <v>0</v>
      </c>
      <c r="M8" s="1873">
        <v>0</v>
      </c>
      <c r="N8" s="1873">
        <v>0</v>
      </c>
      <c r="O8" s="1185">
        <v>0</v>
      </c>
      <c r="P8" s="1186">
        <v>0</v>
      </c>
    </row>
    <row r="9" spans="1:19" ht="16.5" customHeight="1">
      <c r="A9" s="1174" t="s">
        <v>1375</v>
      </c>
      <c r="B9" s="1175" t="s">
        <v>1376</v>
      </c>
      <c r="C9" s="1176" t="s">
        <v>1377</v>
      </c>
      <c r="D9" s="1177">
        <v>64356</v>
      </c>
      <c r="E9" s="1177">
        <v>15583</v>
      </c>
      <c r="F9" s="1178">
        <v>2458</v>
      </c>
      <c r="G9" s="1178">
        <v>167</v>
      </c>
      <c r="H9" s="1178">
        <v>212.5</v>
      </c>
      <c r="I9" s="1177">
        <v>8123</v>
      </c>
      <c r="J9" s="1178">
        <v>104532</v>
      </c>
      <c r="K9" s="1178">
        <v>59500</v>
      </c>
      <c r="L9" s="1178">
        <f>'Příjmy 2014 '!E66</f>
        <v>150000</v>
      </c>
      <c r="M9" s="1872">
        <v>59500</v>
      </c>
      <c r="N9" s="1872">
        <v>150000</v>
      </c>
      <c r="O9" s="1178">
        <f>15000</f>
        <v>15000</v>
      </c>
      <c r="P9" s="1187">
        <f>15000</f>
        <v>15000</v>
      </c>
    </row>
    <row r="10" spans="1:19">
      <c r="A10" s="1174" t="s">
        <v>1378</v>
      </c>
      <c r="B10" s="1175" t="s">
        <v>1379</v>
      </c>
      <c r="C10" s="1176" t="s">
        <v>1380</v>
      </c>
      <c r="D10" s="1177">
        <f>SUM(D11:D14)</f>
        <v>410889</v>
      </c>
      <c r="E10" s="1177">
        <f>SUM(E11:E14)</f>
        <v>598679</v>
      </c>
      <c r="F10" s="1177">
        <f>SUM(F11:F14)</f>
        <v>491662</v>
      </c>
      <c r="G10" s="1177">
        <v>358322</v>
      </c>
      <c r="H10" s="1177">
        <f>H11+H12+H14</f>
        <v>483994</v>
      </c>
      <c r="I10" s="1178">
        <v>368689.16000000003</v>
      </c>
      <c r="J10" s="1178">
        <v>162189</v>
      </c>
      <c r="K10" s="1178">
        <f>SUM(K11:K14)</f>
        <v>64000</v>
      </c>
      <c r="L10" s="1178">
        <v>79000</v>
      </c>
      <c r="M10" s="1872">
        <v>64000</v>
      </c>
      <c r="N10" s="1872">
        <v>79000</v>
      </c>
      <c r="O10" s="1178">
        <f>SUM(O11:O14)</f>
        <v>84000</v>
      </c>
      <c r="P10" s="1179">
        <f>SUM(P11:P14)</f>
        <v>84000</v>
      </c>
    </row>
    <row r="11" spans="1:19">
      <c r="A11" s="1188" t="s">
        <v>1381</v>
      </c>
      <c r="B11" s="1189"/>
      <c r="C11" s="1182" t="s">
        <v>1382</v>
      </c>
      <c r="D11" s="1190">
        <f>153796+26202+39437</f>
        <v>219435</v>
      </c>
      <c r="E11" s="1190">
        <v>231356</v>
      </c>
      <c r="F11" s="1191">
        <v>290229</v>
      </c>
      <c r="G11" s="1191">
        <v>308082</v>
      </c>
      <c r="H11" s="1191">
        <f>483994-150000</f>
        <v>333994</v>
      </c>
      <c r="I11" s="1192">
        <f>I10-I12</f>
        <v>318689.16000000003</v>
      </c>
      <c r="J11" s="1192">
        <f>J10-J12</f>
        <v>103230</v>
      </c>
      <c r="K11" s="1192">
        <v>44000</v>
      </c>
      <c r="L11" s="1192">
        <v>44000</v>
      </c>
      <c r="M11" s="1874">
        <v>44000</v>
      </c>
      <c r="N11" s="1874">
        <v>44000</v>
      </c>
      <c r="O11" s="1192">
        <v>44000</v>
      </c>
      <c r="P11" s="1193">
        <v>44000</v>
      </c>
    </row>
    <row r="12" spans="1:19">
      <c r="A12" s="1194" t="s">
        <v>1383</v>
      </c>
      <c r="B12" s="1195"/>
      <c r="C12" s="1196" t="s">
        <v>1384</v>
      </c>
      <c r="D12" s="1191">
        <v>191454</v>
      </c>
      <c r="E12" s="1191">
        <v>287323</v>
      </c>
      <c r="F12" s="1191">
        <v>125133</v>
      </c>
      <c r="G12" s="1191">
        <v>50240</v>
      </c>
      <c r="H12" s="1191">
        <v>150000</v>
      </c>
      <c r="I12" s="1191">
        <v>50000</v>
      </c>
      <c r="J12" s="1191">
        <v>58959</v>
      </c>
      <c r="K12" s="1191">
        <v>20000</v>
      </c>
      <c r="L12" s="1191">
        <v>35000</v>
      </c>
      <c r="M12" s="1875">
        <v>20000</v>
      </c>
      <c r="N12" s="1875">
        <v>35000</v>
      </c>
      <c r="O12" s="1191">
        <f>20000+20000</f>
        <v>40000</v>
      </c>
      <c r="P12" s="1197">
        <f>20000+20000</f>
        <v>40000</v>
      </c>
    </row>
    <row r="13" spans="1:19">
      <c r="A13" s="1194"/>
      <c r="B13" s="1195"/>
      <c r="C13" s="1196" t="s">
        <v>1385</v>
      </c>
      <c r="D13" s="1191"/>
      <c r="E13" s="1191"/>
      <c r="F13" s="1191"/>
      <c r="G13" s="1191"/>
      <c r="H13" s="1191"/>
      <c r="I13" s="1191"/>
      <c r="J13" s="1191">
        <v>0</v>
      </c>
      <c r="K13" s="1191"/>
      <c r="L13" s="1191">
        <v>0</v>
      </c>
      <c r="M13" s="1875"/>
      <c r="N13" s="1875">
        <v>0</v>
      </c>
      <c r="O13" s="1191">
        <v>0</v>
      </c>
      <c r="P13" s="1197">
        <v>0</v>
      </c>
    </row>
    <row r="14" spans="1:19">
      <c r="A14" s="1188" t="s">
        <v>1386</v>
      </c>
      <c r="B14" s="1189"/>
      <c r="C14" s="1182" t="s">
        <v>1387</v>
      </c>
      <c r="D14" s="1190"/>
      <c r="E14" s="1190">
        <v>80000</v>
      </c>
      <c r="F14" s="1191">
        <v>76300</v>
      </c>
      <c r="G14" s="1191">
        <v>0</v>
      </c>
      <c r="H14" s="1191">
        <v>0</v>
      </c>
      <c r="I14" s="1190">
        <v>0</v>
      </c>
      <c r="J14" s="1191">
        <v>0</v>
      </c>
      <c r="K14" s="1191">
        <v>0</v>
      </c>
      <c r="L14" s="1191">
        <v>0</v>
      </c>
      <c r="M14" s="1875">
        <v>0</v>
      </c>
      <c r="N14" s="1875">
        <v>0</v>
      </c>
      <c r="O14" s="1191">
        <v>0</v>
      </c>
      <c r="P14" s="1197">
        <v>0</v>
      </c>
    </row>
    <row r="15" spans="1:19" ht="17.25">
      <c r="A15" s="1198" t="s">
        <v>1388</v>
      </c>
      <c r="B15" s="1199" t="s">
        <v>1389</v>
      </c>
      <c r="C15" s="1200" t="s">
        <v>1390</v>
      </c>
      <c r="D15" s="1201">
        <f>SUM(D6,D7,D9,D10)</f>
        <v>1196254</v>
      </c>
      <c r="E15" s="1201">
        <f>SUM(E6,E7,E9,E10)</f>
        <v>1360126</v>
      </c>
      <c r="F15" s="1201">
        <f>SUM(F6+F7+F9+F10)</f>
        <v>1300227</v>
      </c>
      <c r="G15" s="1201">
        <f t="shared" ref="G15:P15" si="1">SUM(G6+G7+G9+G10)</f>
        <v>1247166</v>
      </c>
      <c r="H15" s="1201">
        <f>SUM(H6+H7+H9+H10)</f>
        <v>1282052</v>
      </c>
      <c r="I15" s="1201">
        <f t="shared" si="1"/>
        <v>1112738.8999999999</v>
      </c>
      <c r="J15" s="1201">
        <f>SUM(J6+J7+J9+J10)</f>
        <v>1022383</v>
      </c>
      <c r="K15" s="1201">
        <f>SUM(K6+K7+K9+K10)</f>
        <v>975344</v>
      </c>
      <c r="L15" s="1201">
        <f t="shared" si="1"/>
        <v>1057315</v>
      </c>
      <c r="M15" s="1876">
        <v>975344</v>
      </c>
      <c r="N15" s="1876">
        <v>1057315</v>
      </c>
      <c r="O15" s="1201">
        <f>SUM(O6+O7+O9+O10)</f>
        <v>886643.35</v>
      </c>
      <c r="P15" s="1202">
        <f t="shared" si="1"/>
        <v>901249.08750000002</v>
      </c>
      <c r="Q15" s="1203"/>
      <c r="R15" s="169"/>
    </row>
    <row r="16" spans="1:19">
      <c r="A16" s="1204" t="s">
        <v>1391</v>
      </c>
      <c r="B16" s="1205"/>
      <c r="C16" s="1206" t="s">
        <v>1392</v>
      </c>
      <c r="D16" s="1178">
        <v>0</v>
      </c>
      <c r="E16" s="1178">
        <v>50000</v>
      </c>
      <c r="F16" s="1178">
        <v>0</v>
      </c>
      <c r="G16" s="1178">
        <v>550000</v>
      </c>
      <c r="H16" s="1178">
        <v>0</v>
      </c>
      <c r="I16" s="1178">
        <v>0</v>
      </c>
      <c r="J16" s="1178">
        <v>0</v>
      </c>
      <c r="K16" s="1178">
        <v>0</v>
      </c>
      <c r="L16" s="1178">
        <v>0</v>
      </c>
      <c r="M16" s="1872">
        <v>0</v>
      </c>
      <c r="N16" s="1872">
        <v>0</v>
      </c>
      <c r="O16" s="1178">
        <v>0</v>
      </c>
      <c r="P16" s="1187">
        <v>0</v>
      </c>
    </row>
    <row r="17" spans="1:19">
      <c r="A17" s="1207" t="s">
        <v>1393</v>
      </c>
      <c r="B17" s="1199" t="s">
        <v>1394</v>
      </c>
      <c r="C17" s="1206" t="s">
        <v>1395</v>
      </c>
      <c r="D17" s="1178">
        <v>0</v>
      </c>
      <c r="E17" s="1178">
        <v>0</v>
      </c>
      <c r="F17" s="1178">
        <v>0</v>
      </c>
      <c r="G17" s="1178">
        <v>0</v>
      </c>
      <c r="H17" s="1178">
        <v>0</v>
      </c>
      <c r="I17" s="1178">
        <v>0</v>
      </c>
      <c r="J17" s="1178">
        <v>167000</v>
      </c>
      <c r="K17" s="1178">
        <v>0</v>
      </c>
      <c r="L17" s="1178">
        <v>0</v>
      </c>
      <c r="M17" s="1872">
        <v>0</v>
      </c>
      <c r="N17" s="1872">
        <v>0</v>
      </c>
      <c r="O17" s="1178">
        <v>0</v>
      </c>
      <c r="P17" s="1187">
        <v>0</v>
      </c>
    </row>
    <row r="18" spans="1:19" ht="15.75" thickBot="1">
      <c r="A18" s="1208"/>
      <c r="B18" s="1209"/>
      <c r="C18" s="1210" t="s">
        <v>1396</v>
      </c>
      <c r="D18" s="1211">
        <v>0</v>
      </c>
      <c r="E18" s="1211">
        <v>0</v>
      </c>
      <c r="F18" s="1211">
        <v>0</v>
      </c>
      <c r="G18" s="1211">
        <v>0</v>
      </c>
      <c r="H18" s="1211">
        <v>0</v>
      </c>
      <c r="I18" s="1211">
        <v>0</v>
      </c>
      <c r="J18" s="1211"/>
      <c r="K18" s="1211">
        <f>'Inv.a neinv.akce 2014'!O54</f>
        <v>272258.27600000001</v>
      </c>
      <c r="L18" s="1211">
        <f>'Inv.a neinv.akce 2014'!R54</f>
        <v>57732.400999999998</v>
      </c>
      <c r="M18" s="1877">
        <v>272258.27600000001</v>
      </c>
      <c r="N18" s="1877">
        <v>57732.400999999998</v>
      </c>
      <c r="O18" s="1211">
        <f>'Inv.a neinv.akce 2014'!U54</f>
        <v>113876.94500000001</v>
      </c>
      <c r="P18" s="1212">
        <f>'Inv.a neinv.akce 2014'!X54</f>
        <v>66993.36</v>
      </c>
    </row>
    <row r="19" spans="1:19" s="1159" customFormat="1" ht="16.5" thickBot="1">
      <c r="A19" s="1213" t="s">
        <v>1397</v>
      </c>
      <c r="B19" s="1214" t="s">
        <v>1398</v>
      </c>
      <c r="C19" s="1215" t="s">
        <v>1399</v>
      </c>
      <c r="D19" s="1216">
        <f>SUM(D15,D16:D17)</f>
        <v>1196254</v>
      </c>
      <c r="E19" s="1216">
        <f>SUM(E15,E16:E17)</f>
        <v>1410126</v>
      </c>
      <c r="F19" s="1217">
        <f>SUM(F15,F16:F17)</f>
        <v>1300227</v>
      </c>
      <c r="G19" s="1217">
        <f>SUM(G15,G16:G17)</f>
        <v>1797166</v>
      </c>
      <c r="H19" s="1217">
        <f t="shared" ref="H19:P19" si="2">SUM(H15,H16:H18)</f>
        <v>1282052</v>
      </c>
      <c r="I19" s="1218">
        <f t="shared" si="2"/>
        <v>1112738.8999999999</v>
      </c>
      <c r="J19" s="1219">
        <f>SUM(J15,J16:J18)</f>
        <v>1189383</v>
      </c>
      <c r="K19" s="1219">
        <f>SUM(K15,K16:K18)</f>
        <v>1247602.2760000001</v>
      </c>
      <c r="L19" s="1219">
        <f>SUM(L15,L16:L18)</f>
        <v>1115047.4010000001</v>
      </c>
      <c r="M19" s="1219">
        <v>1247602.2760000001</v>
      </c>
      <c r="N19" s="1219">
        <v>1115047.4010000001</v>
      </c>
      <c r="O19" s="1220">
        <f>SUM(O15,O16:O18)</f>
        <v>1000520.2949999999</v>
      </c>
      <c r="P19" s="1221">
        <f t="shared" si="2"/>
        <v>968242.44750000001</v>
      </c>
      <c r="Q19" s="1146"/>
      <c r="S19" s="1160"/>
    </row>
    <row r="20" spans="1:19" ht="16.5" thickBot="1">
      <c r="A20" s="1891" t="s">
        <v>1400</v>
      </c>
      <c r="B20" s="1892"/>
      <c r="C20" s="1892"/>
      <c r="D20" s="1166"/>
      <c r="E20" s="1166"/>
      <c r="F20" s="1165"/>
      <c r="G20" s="1222"/>
      <c r="H20" s="1223"/>
      <c r="I20" s="1166"/>
      <c r="J20" s="1166"/>
      <c r="K20" s="1166"/>
      <c r="L20" s="1166"/>
      <c r="M20" s="1166"/>
      <c r="N20" s="1166"/>
      <c r="O20" s="1167"/>
      <c r="P20" s="1224"/>
    </row>
    <row r="21" spans="1:19">
      <c r="A21" s="1168" t="s">
        <v>1401</v>
      </c>
      <c r="B21" s="1169" t="s">
        <v>1402</v>
      </c>
      <c r="C21" s="1225" t="s">
        <v>1403</v>
      </c>
      <c r="D21" s="1171">
        <v>730742</v>
      </c>
      <c r="E21" s="1171">
        <v>803415</v>
      </c>
      <c r="F21" s="1171">
        <v>856286</v>
      </c>
      <c r="G21" s="1172">
        <v>909269</v>
      </c>
      <c r="H21" s="1226">
        <v>871591</v>
      </c>
      <c r="I21" s="1172">
        <v>976424</v>
      </c>
      <c r="J21" s="1227">
        <v>775019</v>
      </c>
      <c r="K21" s="1227">
        <f>920787-2300</f>
        <v>918487</v>
      </c>
      <c r="L21" s="1227">
        <f>Rekapit.odbory!E55</f>
        <v>820474.652</v>
      </c>
      <c r="M21" s="1878">
        <f>918487-35990-19524</f>
        <v>862973</v>
      </c>
      <c r="N21" s="1878">
        <f>'str. 1_celk.rekap'!E46</f>
        <v>870791.45200000005</v>
      </c>
      <c r="O21" s="1227">
        <f>L21-50000</f>
        <v>770474.652</v>
      </c>
      <c r="P21" s="1228">
        <f>O21</f>
        <v>770474.652</v>
      </c>
    </row>
    <row r="22" spans="1:19">
      <c r="A22" s="1194"/>
      <c r="B22" s="1195"/>
      <c r="C22" s="1229" t="s">
        <v>1404</v>
      </c>
      <c r="D22" s="1230">
        <v>0</v>
      </c>
      <c r="E22" s="1230">
        <v>0</v>
      </c>
      <c r="F22" s="1230">
        <v>0</v>
      </c>
      <c r="G22" s="1191">
        <v>15000</v>
      </c>
      <c r="H22" s="1231">
        <v>12215</v>
      </c>
      <c r="I22" s="1191">
        <v>11000</v>
      </c>
      <c r="J22" s="1191"/>
      <c r="K22" s="1191">
        <v>8000</v>
      </c>
      <c r="L22" s="1191">
        <v>8000</v>
      </c>
      <c r="M22" s="1875">
        <v>8000</v>
      </c>
      <c r="N22" s="1875">
        <v>8000</v>
      </c>
      <c r="O22" s="1191">
        <v>8000</v>
      </c>
      <c r="P22" s="1197">
        <v>8000</v>
      </c>
    </row>
    <row r="23" spans="1:19">
      <c r="A23" s="1194"/>
      <c r="B23" s="1195"/>
      <c r="C23" s="1229" t="s">
        <v>1405</v>
      </c>
      <c r="D23" s="1230"/>
      <c r="E23" s="1230"/>
      <c r="F23" s="1230"/>
      <c r="G23" s="1191"/>
      <c r="H23" s="1231">
        <v>0</v>
      </c>
      <c r="I23" s="1191"/>
      <c r="J23" s="1191"/>
      <c r="K23" s="1191">
        <v>4000</v>
      </c>
      <c r="L23" s="1191">
        <v>0</v>
      </c>
      <c r="M23" s="1875">
        <v>4000</v>
      </c>
      <c r="N23" s="1875">
        <v>0</v>
      </c>
      <c r="O23" s="1230">
        <v>0</v>
      </c>
      <c r="P23" s="1232">
        <v>0</v>
      </c>
    </row>
    <row r="24" spans="1:19">
      <c r="A24" s="1174" t="s">
        <v>1406</v>
      </c>
      <c r="B24" s="1175" t="s">
        <v>1407</v>
      </c>
      <c r="C24" s="1233" t="s">
        <v>1408</v>
      </c>
      <c r="D24" s="1177">
        <v>294626</v>
      </c>
      <c r="E24" s="1177">
        <v>389652</v>
      </c>
      <c r="F24" s="1234">
        <v>707940</v>
      </c>
      <c r="G24" s="1234">
        <v>768723</v>
      </c>
      <c r="H24" s="1235">
        <v>382313</v>
      </c>
      <c r="I24" s="1236">
        <v>204279</v>
      </c>
      <c r="J24" s="1234">
        <v>382461</v>
      </c>
      <c r="K24" s="1234">
        <f>429485-500-500-1000-7000-3000-6000-2000-2000-5000-4000-3400</f>
        <v>395085</v>
      </c>
      <c r="L24" s="1234">
        <f>Rekapit.odbory!E79</f>
        <v>329680.26</v>
      </c>
      <c r="M24" s="1879">
        <f>395085-43113-93306</f>
        <v>258666</v>
      </c>
      <c r="N24" s="1879">
        <f>'str. 1_celk.rekap'!E47</f>
        <v>471294.54399999999</v>
      </c>
      <c r="O24" s="1234">
        <f>'Inv.a neinv.akce 2014'!S54</f>
        <v>203868</v>
      </c>
      <c r="P24" s="1237">
        <f>'Inv.a neinv.akce 2014'!V54</f>
        <v>129353</v>
      </c>
    </row>
    <row r="25" spans="1:19" ht="25.5" hidden="1">
      <c r="A25" s="1238"/>
      <c r="B25" s="1175"/>
      <c r="C25" s="1239" t="s">
        <v>1409</v>
      </c>
      <c r="D25" s="1240">
        <v>0</v>
      </c>
      <c r="E25" s="1240">
        <v>0</v>
      </c>
      <c r="F25" s="1241">
        <v>0</v>
      </c>
      <c r="G25" s="1241">
        <v>15000</v>
      </c>
      <c r="H25" s="1242">
        <v>90000</v>
      </c>
      <c r="I25" s="1241">
        <v>5000</v>
      </c>
      <c r="J25" s="1241">
        <v>0</v>
      </c>
      <c r="K25" s="1241">
        <v>0</v>
      </c>
      <c r="L25" s="1241">
        <v>0</v>
      </c>
      <c r="M25" s="1880"/>
      <c r="N25" s="1880"/>
      <c r="O25" s="1241">
        <v>0</v>
      </c>
      <c r="P25" s="1243">
        <v>0</v>
      </c>
    </row>
    <row r="26" spans="1:19" hidden="1">
      <c r="A26" s="1238" t="s">
        <v>1410</v>
      </c>
      <c r="B26" s="1189"/>
      <c r="C26" s="1244" t="s">
        <v>1411</v>
      </c>
      <c r="D26" s="1183"/>
      <c r="E26" s="1183">
        <v>208123</v>
      </c>
      <c r="F26" s="1185">
        <v>511178</v>
      </c>
      <c r="G26" s="1245">
        <v>463000</v>
      </c>
      <c r="H26" s="1246">
        <v>0</v>
      </c>
      <c r="I26" s="1247"/>
      <c r="J26" s="1185">
        <v>0</v>
      </c>
      <c r="K26" s="1185">
        <v>0</v>
      </c>
      <c r="L26" s="1185">
        <v>0</v>
      </c>
      <c r="M26" s="1873"/>
      <c r="N26" s="1873"/>
      <c r="O26" s="1183">
        <v>0</v>
      </c>
      <c r="P26" s="1248">
        <v>0</v>
      </c>
    </row>
    <row r="27" spans="1:19" hidden="1">
      <c r="A27" s="1238" t="s">
        <v>1412</v>
      </c>
      <c r="B27" s="1189"/>
      <c r="C27" s="1244" t="s">
        <v>1413</v>
      </c>
      <c r="D27" s="1183">
        <v>294626</v>
      </c>
      <c r="E27" s="1183">
        <v>181529</v>
      </c>
      <c r="F27" s="1185">
        <v>196762</v>
      </c>
      <c r="G27" s="1249">
        <f>488001*1</f>
        <v>488001</v>
      </c>
      <c r="H27" s="1250">
        <v>464635.35</v>
      </c>
      <c r="I27" s="1251">
        <v>174442.83</v>
      </c>
      <c r="J27" s="1185">
        <v>200000</v>
      </c>
      <c r="K27" s="1185">
        <v>200000</v>
      </c>
      <c r="L27" s="1185">
        <v>200000</v>
      </c>
      <c r="M27" s="1873"/>
      <c r="N27" s="1873"/>
      <c r="O27" s="1183">
        <v>200000</v>
      </c>
      <c r="P27" s="1248">
        <v>200000</v>
      </c>
    </row>
    <row r="28" spans="1:19" hidden="1">
      <c r="A28" s="1238"/>
      <c r="B28" s="1189"/>
      <c r="C28" s="1244" t="s">
        <v>1414</v>
      </c>
      <c r="D28" s="1183">
        <v>0</v>
      </c>
      <c r="E28" s="1183">
        <v>0</v>
      </c>
      <c r="F28" s="1185">
        <v>0</v>
      </c>
      <c r="G28" s="1245">
        <f>43500+50000</f>
        <v>93500</v>
      </c>
      <c r="H28" s="1246">
        <v>0</v>
      </c>
      <c r="I28" s="1185">
        <v>0</v>
      </c>
      <c r="J28" s="1185">
        <v>0</v>
      </c>
      <c r="K28" s="1185">
        <v>0</v>
      </c>
      <c r="L28" s="1185">
        <v>0</v>
      </c>
      <c r="M28" s="1873"/>
      <c r="N28" s="1873"/>
      <c r="O28" s="1183">
        <v>0</v>
      </c>
      <c r="P28" s="1248">
        <v>0</v>
      </c>
    </row>
    <row r="29" spans="1:19" ht="17.25">
      <c r="A29" s="1198" t="s">
        <v>1415</v>
      </c>
      <c r="B29" s="1199" t="s">
        <v>1416</v>
      </c>
      <c r="C29" s="1200" t="s">
        <v>1417</v>
      </c>
      <c r="D29" s="1201">
        <f t="shared" ref="D29:P29" si="3">SUM(D21,D24)</f>
        <v>1025368</v>
      </c>
      <c r="E29" s="1201">
        <f t="shared" si="3"/>
        <v>1193067</v>
      </c>
      <c r="F29" s="1201">
        <f t="shared" si="3"/>
        <v>1564226</v>
      </c>
      <c r="G29" s="1201">
        <f t="shared" si="3"/>
        <v>1677992</v>
      </c>
      <c r="H29" s="1252">
        <f t="shared" si="3"/>
        <v>1253904</v>
      </c>
      <c r="I29" s="1201">
        <f t="shared" si="3"/>
        <v>1180703</v>
      </c>
      <c r="J29" s="1201">
        <f t="shared" si="3"/>
        <v>1157480</v>
      </c>
      <c r="K29" s="1201">
        <f t="shared" si="3"/>
        <v>1313572</v>
      </c>
      <c r="L29" s="1201">
        <f>SUM(L21,L24)</f>
        <v>1150154.912</v>
      </c>
      <c r="M29" s="1876">
        <f>SUM(M21,M24)</f>
        <v>1121639</v>
      </c>
      <c r="N29" s="1876">
        <f>SUM(N21,N24)</f>
        <v>1342085.996</v>
      </c>
      <c r="O29" s="1201">
        <f>SUM(O21,O24)</f>
        <v>974342.652</v>
      </c>
      <c r="P29" s="1202">
        <f t="shared" si="3"/>
        <v>899827.652</v>
      </c>
      <c r="Q29" s="1203"/>
    </row>
    <row r="30" spans="1:19">
      <c r="A30" s="1253"/>
      <c r="B30" s="1254"/>
      <c r="C30" s="1206" t="s">
        <v>1418</v>
      </c>
      <c r="D30" s="1178"/>
      <c r="E30" s="1178"/>
      <c r="F30" s="1178">
        <v>0</v>
      </c>
      <c r="G30" s="1178">
        <v>0</v>
      </c>
      <c r="H30" s="1255">
        <v>0</v>
      </c>
      <c r="I30" s="1178">
        <v>120000</v>
      </c>
      <c r="J30" s="1178">
        <v>-55000</v>
      </c>
      <c r="K30" s="1178">
        <v>-65000</v>
      </c>
      <c r="L30" s="1178">
        <v>0</v>
      </c>
      <c r="M30" s="1872">
        <v>-65000</v>
      </c>
      <c r="N30" s="1872">
        <v>0</v>
      </c>
      <c r="O30" s="1178">
        <v>0</v>
      </c>
      <c r="P30" s="1187">
        <v>0</v>
      </c>
    </row>
    <row r="31" spans="1:19">
      <c r="A31" s="1204" t="s">
        <v>1419</v>
      </c>
      <c r="B31" s="1205"/>
      <c r="C31" s="1256" t="s">
        <v>1420</v>
      </c>
      <c r="D31" s="1257">
        <v>0</v>
      </c>
      <c r="E31" s="1257">
        <v>0</v>
      </c>
      <c r="F31" s="1257">
        <v>0</v>
      </c>
      <c r="G31" s="1257">
        <v>40000</v>
      </c>
      <c r="H31" s="1255">
        <v>40000</v>
      </c>
      <c r="I31" s="1258">
        <v>40000</v>
      </c>
      <c r="J31" s="1258">
        <v>40000</v>
      </c>
      <c r="K31" s="1257">
        <v>40000</v>
      </c>
      <c r="L31" s="1258">
        <v>40000</v>
      </c>
      <c r="M31" s="1881">
        <v>40000</v>
      </c>
      <c r="N31" s="1881">
        <v>40000</v>
      </c>
      <c r="O31" s="1257">
        <v>40000</v>
      </c>
      <c r="P31" s="1259">
        <v>40000</v>
      </c>
    </row>
    <row r="32" spans="1:19">
      <c r="A32" s="1204" t="s">
        <v>1421</v>
      </c>
      <c r="B32" s="1205"/>
      <c r="C32" s="1206" t="s">
        <v>1422</v>
      </c>
      <c r="D32" s="1178">
        <v>0</v>
      </c>
      <c r="E32" s="1178">
        <v>0</v>
      </c>
      <c r="F32" s="1178">
        <v>0</v>
      </c>
      <c r="G32" s="1178">
        <v>0</v>
      </c>
      <c r="H32" s="1255">
        <f>H18</f>
        <v>0</v>
      </c>
      <c r="I32" s="1178">
        <v>0</v>
      </c>
      <c r="J32" s="1178">
        <v>0</v>
      </c>
      <c r="K32" s="1178">
        <f>SUM(J17)</f>
        <v>167000</v>
      </c>
      <c r="L32" s="1178">
        <v>0</v>
      </c>
      <c r="M32" s="1872">
        <v>167000</v>
      </c>
      <c r="N32" s="1872">
        <v>0</v>
      </c>
      <c r="O32" s="1178">
        <v>0</v>
      </c>
      <c r="P32" s="1187">
        <v>0</v>
      </c>
      <c r="Q32" s="1140" t="s">
        <v>1423</v>
      </c>
    </row>
    <row r="33" spans="1:19" ht="15.75" thickBot="1">
      <c r="A33" s="1260" t="s">
        <v>1424</v>
      </c>
      <c r="B33" s="1261" t="s">
        <v>1425</v>
      </c>
      <c r="C33" s="1262" t="s">
        <v>1426</v>
      </c>
      <c r="D33" s="1263">
        <f t="shared" ref="D33:O33" si="4">SUM(D31:D32)</f>
        <v>0</v>
      </c>
      <c r="E33" s="1263">
        <f t="shared" si="4"/>
        <v>0</v>
      </c>
      <c r="F33" s="1264">
        <f t="shared" si="4"/>
        <v>0</v>
      </c>
      <c r="G33" s="1264">
        <f t="shared" si="4"/>
        <v>40000</v>
      </c>
      <c r="H33" s="1265">
        <f t="shared" si="4"/>
        <v>40000</v>
      </c>
      <c r="I33" s="1263">
        <f t="shared" si="4"/>
        <v>40000</v>
      </c>
      <c r="J33" s="1263">
        <f t="shared" si="4"/>
        <v>40000</v>
      </c>
      <c r="K33" s="1263">
        <f t="shared" si="4"/>
        <v>207000</v>
      </c>
      <c r="L33" s="1264">
        <f t="shared" si="4"/>
        <v>40000</v>
      </c>
      <c r="M33" s="1882">
        <f t="shared" ref="M33" si="5">SUM(M31:M32)</f>
        <v>207000</v>
      </c>
      <c r="N33" s="1882">
        <f t="shared" ref="N33" si="6">SUM(N31:N32)</f>
        <v>40000</v>
      </c>
      <c r="O33" s="1263">
        <f t="shared" si="4"/>
        <v>40000</v>
      </c>
      <c r="P33" s="1266">
        <f>SUM(P31:P32)</f>
        <v>40000</v>
      </c>
    </row>
    <row r="34" spans="1:19" s="1159" customFormat="1" ht="16.5" thickBot="1">
      <c r="A34" s="1267" t="s">
        <v>1427</v>
      </c>
      <c r="B34" s="1268" t="s">
        <v>1428</v>
      </c>
      <c r="C34" s="1269" t="s">
        <v>1429</v>
      </c>
      <c r="D34" s="1216">
        <f>SUM(D33,D29)</f>
        <v>1025368</v>
      </c>
      <c r="E34" s="1216">
        <f>SUM(E33,E29)</f>
        <v>1193067</v>
      </c>
      <c r="F34" s="1216">
        <f>SUM(F33,F30,F29)</f>
        <v>1564226</v>
      </c>
      <c r="G34" s="1216">
        <f t="shared" ref="G34:P34" si="7">SUM(G33,G30,G29)</f>
        <v>1717992</v>
      </c>
      <c r="H34" s="1216">
        <f t="shared" si="7"/>
        <v>1293904</v>
      </c>
      <c r="I34" s="1216">
        <f>SUM(I33,I30,I29)</f>
        <v>1340703</v>
      </c>
      <c r="J34" s="1216">
        <f t="shared" si="7"/>
        <v>1142480</v>
      </c>
      <c r="K34" s="1216">
        <f t="shared" si="7"/>
        <v>1455572</v>
      </c>
      <c r="L34" s="1216">
        <f t="shared" si="7"/>
        <v>1190154.912</v>
      </c>
      <c r="M34" s="1216">
        <f t="shared" si="7"/>
        <v>1263639</v>
      </c>
      <c r="N34" s="1216">
        <f t="shared" si="7"/>
        <v>1382085.996</v>
      </c>
      <c r="O34" s="1216">
        <f>SUM(O33,O30,O29)</f>
        <v>1014342.652</v>
      </c>
      <c r="P34" s="1270">
        <f t="shared" si="7"/>
        <v>939827.652</v>
      </c>
      <c r="Q34" s="1146"/>
      <c r="S34" s="1160"/>
    </row>
    <row r="35" spans="1:19" ht="16.5" thickBot="1">
      <c r="A35" s="1271" t="s">
        <v>1430</v>
      </c>
      <c r="B35" s="1272"/>
      <c r="C35" s="1273" t="s">
        <v>1431</v>
      </c>
      <c r="D35" s="1274">
        <f t="shared" ref="D35:P35" si="8">SUM(D19-D34)</f>
        <v>170886</v>
      </c>
      <c r="E35" s="1274">
        <f t="shared" si="8"/>
        <v>217059</v>
      </c>
      <c r="F35" s="1274">
        <f t="shared" si="8"/>
        <v>-263999</v>
      </c>
      <c r="G35" s="1275">
        <f t="shared" si="8"/>
        <v>79174</v>
      </c>
      <c r="H35" s="1276">
        <f t="shared" si="8"/>
        <v>-11852</v>
      </c>
      <c r="I35" s="1274">
        <f t="shared" si="8"/>
        <v>-227964.10000000009</v>
      </c>
      <c r="J35" s="1274">
        <f>SUM(J19-J34)</f>
        <v>46903</v>
      </c>
      <c r="K35" s="1274">
        <f t="shared" si="8"/>
        <v>-207969.72399999993</v>
      </c>
      <c r="L35" s="1277">
        <f t="shared" si="8"/>
        <v>-75107.51099999994</v>
      </c>
      <c r="M35" s="1883">
        <f t="shared" ref="M35:N35" si="9">SUM(M19-M34)</f>
        <v>-16036.723999999929</v>
      </c>
      <c r="N35" s="1883">
        <f t="shared" si="9"/>
        <v>-267038.59499999997</v>
      </c>
      <c r="O35" s="1274">
        <f>SUM(O19-O34)</f>
        <v>-13822.357000000076</v>
      </c>
      <c r="P35" s="1278">
        <f t="shared" si="8"/>
        <v>28414.795500000007</v>
      </c>
      <c r="Q35" s="1203"/>
    </row>
    <row r="36" spans="1:19" s="1159" customFormat="1" ht="16.5" thickBot="1">
      <c r="A36" s="1267" t="s">
        <v>1432</v>
      </c>
      <c r="B36" s="1268"/>
      <c r="C36" s="1279" t="s">
        <v>1433</v>
      </c>
      <c r="D36" s="1280">
        <f t="shared" ref="D36:P36" si="10">D4+D35</f>
        <v>509977</v>
      </c>
      <c r="E36" s="1280">
        <f t="shared" si="10"/>
        <v>727036</v>
      </c>
      <c r="F36" s="1281">
        <f t="shared" si="10"/>
        <v>463037</v>
      </c>
      <c r="G36" s="1281">
        <f t="shared" si="10"/>
        <v>542211</v>
      </c>
      <c r="H36" s="1282">
        <f t="shared" si="10"/>
        <v>530359</v>
      </c>
      <c r="I36" s="1282">
        <f t="shared" si="10"/>
        <v>302394.89999999991</v>
      </c>
      <c r="J36" s="1281">
        <f>J4+J35</f>
        <v>349297.89999999991</v>
      </c>
      <c r="K36" s="1281">
        <f t="shared" si="10"/>
        <v>141328.17599999998</v>
      </c>
      <c r="L36" s="1281">
        <f>L4+L35</f>
        <v>66220.665000000037</v>
      </c>
      <c r="M36" s="1281">
        <f>M4+M35</f>
        <v>333261.27600000007</v>
      </c>
      <c r="N36" s="1281">
        <f>N4+N35</f>
        <v>66222.681000000099</v>
      </c>
      <c r="O36" s="1281">
        <f t="shared" si="10"/>
        <v>52400.324000000022</v>
      </c>
      <c r="P36" s="1283">
        <f t="shared" si="10"/>
        <v>80815.11950000003</v>
      </c>
      <c r="Q36" s="1140"/>
      <c r="S36" s="1160"/>
    </row>
    <row r="37" spans="1:19">
      <c r="L37" s="1318"/>
      <c r="M37" s="169"/>
      <c r="P37" s="162"/>
    </row>
    <row r="38" spans="1:19" hidden="1">
      <c r="I38" s="1285" t="s">
        <v>1434</v>
      </c>
      <c r="J38" s="1286" t="e">
        <f>SUM(#REF!)</f>
        <v>#REF!</v>
      </c>
      <c r="K38" s="1286" t="e">
        <f>SUM(#REF!)</f>
        <v>#REF!</v>
      </c>
      <c r="L38" s="1286" t="e">
        <f>SUM(#REF!)</f>
        <v>#REF!</v>
      </c>
      <c r="M38" s="1286"/>
      <c r="N38" s="1286"/>
      <c r="O38" s="1286" t="e">
        <f>SUM(#REF!)</f>
        <v>#REF!</v>
      </c>
      <c r="P38" s="1286" t="e">
        <f>SUM(#REF!)</f>
        <v>#REF!</v>
      </c>
    </row>
    <row r="39" spans="1:19" hidden="1">
      <c r="J39" s="1287" t="e">
        <f>J36-J38</f>
        <v>#REF!</v>
      </c>
      <c r="K39" s="1287" t="e">
        <f>K36-K38</f>
        <v>#REF!</v>
      </c>
      <c r="L39" s="1287" t="e">
        <f>L36-L38</f>
        <v>#REF!</v>
      </c>
      <c r="M39" s="1287"/>
      <c r="N39" s="1287"/>
      <c r="O39" s="1287" t="e">
        <f>O36-O38</f>
        <v>#REF!</v>
      </c>
      <c r="P39" s="1287" t="e">
        <f>P36-P38</f>
        <v>#REF!</v>
      </c>
    </row>
    <row r="40" spans="1:19">
      <c r="J40" s="1287"/>
      <c r="K40" s="1288"/>
      <c r="L40" s="1288"/>
      <c r="M40" s="1288"/>
      <c r="N40" s="1288"/>
      <c r="O40" s="1289" t="s">
        <v>1253</v>
      </c>
      <c r="P40" s="1290">
        <f>'Inv.a neinv.akce 2014'!U58</f>
        <v>78714.464999999997</v>
      </c>
    </row>
    <row r="41" spans="1:19">
      <c r="J41" s="1287"/>
    </row>
    <row r="42" spans="1:19">
      <c r="J42" s="1287"/>
      <c r="L42" s="1318"/>
      <c r="M42" s="1318"/>
      <c r="N42" s="1318"/>
    </row>
    <row r="43" spans="1:19">
      <c r="J43" s="1287"/>
      <c r="L43" s="1323"/>
      <c r="M43" s="1323"/>
      <c r="N43" s="1323"/>
    </row>
    <row r="44" spans="1:19">
      <c r="J44" s="1287"/>
      <c r="L44" s="169"/>
      <c r="M44" s="169"/>
      <c r="N44" s="169"/>
    </row>
  </sheetData>
  <mergeCells count="6">
    <mergeCell ref="A20:C20"/>
    <mergeCell ref="A1:O1"/>
    <mergeCell ref="I2:P2"/>
    <mergeCell ref="A3:C3"/>
    <mergeCell ref="B4:C4"/>
    <mergeCell ref="A5:C5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83" firstPageNumber="119" orientation="landscape" useFirstPageNumber="1" r:id="rId1"/>
  <headerFooter>
    <oddHeader>&amp;C&amp;"Calibri,Tučné"IV. Rozpočtový výhled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I37"/>
  <sheetViews>
    <sheetView zoomScaleNormal="100" workbookViewId="0">
      <selection activeCell="M28" sqref="M28"/>
    </sheetView>
  </sheetViews>
  <sheetFormatPr defaultRowHeight="15"/>
  <cols>
    <col min="1" max="1" width="4" style="4" customWidth="1"/>
    <col min="2" max="4" width="5.7109375" style="3" customWidth="1"/>
    <col min="5" max="5" width="36.7109375" style="3" customWidth="1"/>
    <col min="6" max="6" width="9.85546875" style="2" customWidth="1"/>
    <col min="7" max="7" width="9.85546875" style="2" hidden="1" customWidth="1"/>
    <col min="8" max="9" width="9.85546875" style="2" customWidth="1"/>
    <col min="10" max="16384" width="9.140625" style="1"/>
  </cols>
  <sheetData>
    <row r="1" spans="1:9" ht="15.75" customHeight="1"/>
    <row r="2" spans="1:9" ht="15.75" customHeight="1"/>
    <row r="3" spans="1:9" ht="15.75" customHeight="1" thickBot="1"/>
    <row r="4" spans="1:9" ht="15.75" customHeight="1" thickTop="1">
      <c r="B4" s="41"/>
      <c r="C4" s="40"/>
      <c r="D4" s="39"/>
      <c r="E4" s="38"/>
      <c r="F4" s="1962" t="s">
        <v>44</v>
      </c>
      <c r="G4" s="1962" t="s">
        <v>43</v>
      </c>
      <c r="H4" s="1962" t="s">
        <v>1487</v>
      </c>
      <c r="I4" s="1971" t="s">
        <v>1488</v>
      </c>
    </row>
    <row r="5" spans="1:9" ht="15.75" customHeight="1">
      <c r="A5" s="4" t="s">
        <v>120</v>
      </c>
      <c r="B5" s="36" t="s">
        <v>42</v>
      </c>
      <c r="C5" s="35" t="s">
        <v>41</v>
      </c>
      <c r="D5" s="34" t="s">
        <v>40</v>
      </c>
      <c r="E5" s="33"/>
      <c r="F5" s="1963"/>
      <c r="G5" s="1963"/>
      <c r="H5" s="1963"/>
      <c r="I5" s="1972"/>
    </row>
    <row r="6" spans="1:9" ht="15.75" customHeight="1" thickBot="1">
      <c r="B6" s="31"/>
      <c r="C6" s="30"/>
      <c r="D6" s="29"/>
      <c r="E6" s="28" t="s">
        <v>38</v>
      </c>
      <c r="F6" s="1964"/>
      <c r="G6" s="1964"/>
      <c r="H6" s="1964"/>
      <c r="I6" s="1973"/>
    </row>
    <row r="7" spans="1:9" ht="15.75" customHeight="1" thickTop="1" thickBot="1">
      <c r="B7" s="102">
        <v>3745</v>
      </c>
      <c r="C7" s="85">
        <v>5169</v>
      </c>
      <c r="D7" s="85" t="s">
        <v>141</v>
      </c>
      <c r="E7" s="84" t="s">
        <v>142</v>
      </c>
      <c r="F7" s="125">
        <v>250</v>
      </c>
      <c r="G7" s="125">
        <v>250</v>
      </c>
      <c r="H7" s="125">
        <v>315</v>
      </c>
      <c r="I7" s="1491">
        <v>315</v>
      </c>
    </row>
    <row r="8" spans="1:9" ht="15.75" customHeight="1" thickBot="1">
      <c r="B8" s="62" t="s">
        <v>144</v>
      </c>
      <c r="C8" s="61" t="s">
        <v>51</v>
      </c>
      <c r="D8" s="61" t="s">
        <v>141</v>
      </c>
      <c r="E8" s="103" t="s">
        <v>145</v>
      </c>
      <c r="F8" s="126">
        <v>2</v>
      </c>
      <c r="G8" s="126">
        <v>2</v>
      </c>
      <c r="H8" s="126">
        <v>2</v>
      </c>
      <c r="I8" s="127">
        <v>2</v>
      </c>
    </row>
    <row r="9" spans="1:9" ht="15.75" customHeight="1" thickBot="1">
      <c r="B9" s="62" t="s">
        <v>144</v>
      </c>
      <c r="C9" s="61" t="s">
        <v>56</v>
      </c>
      <c r="D9" s="61" t="s">
        <v>141</v>
      </c>
      <c r="E9" s="103" t="s">
        <v>146</v>
      </c>
      <c r="F9" s="126">
        <v>3</v>
      </c>
      <c r="G9" s="126">
        <v>3</v>
      </c>
      <c r="H9" s="126">
        <v>3</v>
      </c>
      <c r="I9" s="127">
        <v>3</v>
      </c>
    </row>
    <row r="10" spans="1:9" ht="15.75" customHeight="1" thickBot="1">
      <c r="B10" s="62" t="s">
        <v>147</v>
      </c>
      <c r="C10" s="61" t="s">
        <v>56</v>
      </c>
      <c r="D10" s="61" t="s">
        <v>141</v>
      </c>
      <c r="E10" s="103" t="s">
        <v>148</v>
      </c>
      <c r="F10" s="126">
        <v>200</v>
      </c>
      <c r="G10" s="126">
        <v>200</v>
      </c>
      <c r="H10" s="126">
        <v>0</v>
      </c>
      <c r="I10" s="127">
        <v>0</v>
      </c>
    </row>
    <row r="11" spans="1:9" ht="15.75" hidden="1" customHeight="1" thickBot="1">
      <c r="B11" s="62" t="s">
        <v>149</v>
      </c>
      <c r="C11" s="61" t="s">
        <v>56</v>
      </c>
      <c r="D11" s="61" t="s">
        <v>141</v>
      </c>
      <c r="E11" s="103" t="s">
        <v>150</v>
      </c>
      <c r="F11" s="126">
        <v>0</v>
      </c>
      <c r="G11" s="126">
        <v>100</v>
      </c>
      <c r="H11" s="126">
        <v>0</v>
      </c>
      <c r="I11" s="127">
        <v>0</v>
      </c>
    </row>
    <row r="12" spans="1:9" ht="15.75" hidden="1" customHeight="1" thickBot="1">
      <c r="B12" s="62" t="s">
        <v>151</v>
      </c>
      <c r="C12" s="61" t="s">
        <v>152</v>
      </c>
      <c r="D12" s="61" t="s">
        <v>141</v>
      </c>
      <c r="E12" s="59" t="s">
        <v>153</v>
      </c>
      <c r="F12" s="128">
        <v>0</v>
      </c>
      <c r="G12" s="128">
        <f>36.1</f>
        <v>36.1</v>
      </c>
      <c r="H12" s="128">
        <v>0</v>
      </c>
      <c r="I12" s="1492">
        <v>0</v>
      </c>
    </row>
    <row r="13" spans="1:9" ht="15.75" hidden="1" customHeight="1" thickBot="1">
      <c r="B13" s="1842" t="s">
        <v>151</v>
      </c>
      <c r="C13" s="624" t="s">
        <v>152</v>
      </c>
      <c r="D13" s="624" t="s">
        <v>141</v>
      </c>
      <c r="E13" s="1730" t="s">
        <v>154</v>
      </c>
      <c r="F13" s="1843">
        <v>0</v>
      </c>
      <c r="G13" s="1843">
        <f>72.904+71.295</f>
        <v>144.19900000000001</v>
      </c>
      <c r="H13" s="1843">
        <v>0</v>
      </c>
      <c r="I13" s="1844">
        <v>0</v>
      </c>
    </row>
    <row r="14" spans="1:9" s="107" customFormat="1" ht="15.75" customHeight="1" thickBot="1">
      <c r="A14" s="106">
        <v>501</v>
      </c>
      <c r="B14" s="1980" t="s">
        <v>155</v>
      </c>
      <c r="C14" s="1981"/>
      <c r="D14" s="1981"/>
      <c r="E14" s="1982"/>
      <c r="F14" s="1845">
        <f>SUM(F7:F13)</f>
        <v>455</v>
      </c>
      <c r="G14" s="1845">
        <f>SUM(G7:G13)</f>
        <v>735.29899999999998</v>
      </c>
      <c r="H14" s="1845">
        <f>SUM(H7:H13)</f>
        <v>320</v>
      </c>
      <c r="I14" s="1846">
        <f>SUM(I7:I13)</f>
        <v>320</v>
      </c>
    </row>
    <row r="15" spans="1:9" s="107" customFormat="1" ht="15.75" hidden="1" customHeight="1" thickTop="1" thickBot="1">
      <c r="A15" s="108"/>
      <c r="B15" s="109">
        <v>3639</v>
      </c>
      <c r="C15" s="110">
        <v>5139</v>
      </c>
      <c r="D15" s="110" t="s">
        <v>141</v>
      </c>
      <c r="E15" s="112" t="s">
        <v>156</v>
      </c>
      <c r="F15" s="129">
        <v>0</v>
      </c>
      <c r="G15" s="129">
        <v>246.8</v>
      </c>
      <c r="H15" s="129">
        <v>0</v>
      </c>
      <c r="I15" s="130">
        <v>0</v>
      </c>
    </row>
    <row r="16" spans="1:9" s="107" customFormat="1" ht="15.75" customHeight="1" thickTop="1" thickBot="1">
      <c r="A16" s="108"/>
      <c r="B16" s="115">
        <v>3639</v>
      </c>
      <c r="C16" s="111" t="s">
        <v>157</v>
      </c>
      <c r="D16" s="111" t="s">
        <v>141</v>
      </c>
      <c r="E16" s="116" t="s">
        <v>158</v>
      </c>
      <c r="F16" s="131">
        <v>100</v>
      </c>
      <c r="G16" s="131">
        <f>100-20.52-46.8</f>
        <v>32.680000000000007</v>
      </c>
      <c r="H16" s="131">
        <v>0</v>
      </c>
      <c r="I16" s="1493">
        <v>0</v>
      </c>
    </row>
    <row r="17" spans="1:9" s="107" customFormat="1" ht="15.75" customHeight="1" thickTop="1" thickBot="1">
      <c r="A17" s="106">
        <v>551</v>
      </c>
      <c r="B17" s="117">
        <v>3639</v>
      </c>
      <c r="C17" s="118" t="s">
        <v>157</v>
      </c>
      <c r="D17" s="118" t="s">
        <v>141</v>
      </c>
      <c r="E17" s="119" t="s">
        <v>159</v>
      </c>
      <c r="F17" s="132">
        <f>SUM(F15:F16)</f>
        <v>100</v>
      </c>
      <c r="G17" s="132">
        <f>SUM(G15:G16)</f>
        <v>279.48</v>
      </c>
      <c r="H17" s="132">
        <f>SUM(H15:H16)</f>
        <v>0</v>
      </c>
      <c r="I17" s="1494">
        <f>SUM(I15:I16)</f>
        <v>0</v>
      </c>
    </row>
    <row r="18" spans="1:9" s="17" customFormat="1" ht="6" customHeight="1" thickTop="1" thickBot="1">
      <c r="A18" s="23"/>
      <c r="B18" s="22"/>
      <c r="C18" s="22"/>
      <c r="D18" s="21"/>
      <c r="E18" s="20"/>
      <c r="F18" s="133"/>
      <c r="G18" s="133"/>
      <c r="H18" s="133"/>
      <c r="I18" s="133"/>
    </row>
    <row r="19" spans="1:9" s="46" customFormat="1" ht="15.75" customHeight="1" thickTop="1" thickBot="1">
      <c r="A19" s="10"/>
      <c r="B19" s="12"/>
      <c r="C19" s="12"/>
      <c r="D19" s="12"/>
      <c r="E19" s="15" t="s">
        <v>30</v>
      </c>
      <c r="F19" s="134">
        <f>SUM(F14,F17)</f>
        <v>555</v>
      </c>
      <c r="G19" s="134">
        <f>SUM(G14,G17)</f>
        <v>1014.779</v>
      </c>
      <c r="H19" s="134">
        <f>SUM(H14,H17)</f>
        <v>320</v>
      </c>
      <c r="I19" s="1495">
        <f>SUM(I14,I17)</f>
        <v>320</v>
      </c>
    </row>
    <row r="20" spans="1:9" s="46" customFormat="1" ht="10.5" customHeight="1" thickTop="1">
      <c r="A20" s="10"/>
      <c r="B20" s="12"/>
      <c r="C20" s="12"/>
      <c r="D20" s="12"/>
      <c r="E20" s="12"/>
      <c r="F20" s="122"/>
      <c r="G20" s="122"/>
      <c r="H20" s="122"/>
      <c r="I20" s="122"/>
    </row>
    <row r="21" spans="1:9" s="46" customFormat="1" ht="10.5" customHeight="1">
      <c r="A21" s="10"/>
      <c r="B21" s="12"/>
      <c r="C21" s="12"/>
      <c r="D21" s="12"/>
      <c r="E21" s="12"/>
      <c r="F21" s="122"/>
      <c r="G21" s="122"/>
      <c r="H21" s="122"/>
      <c r="I21" s="122"/>
    </row>
    <row r="22" spans="1:9" s="46" customFormat="1" ht="10.5" customHeight="1">
      <c r="A22" s="10"/>
      <c r="B22" s="12"/>
      <c r="C22" s="12"/>
      <c r="D22" s="12"/>
      <c r="E22" s="12"/>
      <c r="F22" s="122"/>
      <c r="G22" s="122"/>
      <c r="H22" s="122"/>
      <c r="I22" s="122"/>
    </row>
    <row r="23" spans="1:9" s="46" customFormat="1" ht="10.5" customHeight="1">
      <c r="A23" s="10"/>
      <c r="B23" s="12"/>
      <c r="C23" s="12"/>
      <c r="D23" s="12"/>
      <c r="E23" s="12"/>
      <c r="F23" s="122"/>
      <c r="G23" s="122"/>
      <c r="H23" s="122"/>
      <c r="I23" s="122"/>
    </row>
    <row r="24" spans="1:9" s="46" customFormat="1" ht="10.5" customHeight="1">
      <c r="A24" s="10"/>
      <c r="B24" s="12"/>
      <c r="C24" s="12"/>
      <c r="D24" s="12"/>
      <c r="E24" s="12"/>
      <c r="F24" s="122"/>
      <c r="G24" s="122"/>
      <c r="H24" s="122"/>
      <c r="I24" s="122"/>
    </row>
    <row r="25" spans="1:9" s="46" customFormat="1" ht="10.5" customHeight="1" thickBot="1">
      <c r="A25" s="10"/>
      <c r="B25" s="12"/>
      <c r="C25" s="12"/>
      <c r="D25" s="12"/>
      <c r="E25" s="12"/>
      <c r="F25" s="122"/>
      <c r="G25" s="122"/>
      <c r="H25" s="122"/>
      <c r="I25" s="122"/>
    </row>
    <row r="26" spans="1:9" s="46" customFormat="1" ht="10.5" customHeight="1" thickTop="1">
      <c r="A26" s="10"/>
      <c r="B26" s="41"/>
      <c r="C26" s="40"/>
      <c r="D26" s="39"/>
      <c r="E26" s="38"/>
      <c r="F26" s="1962" t="s">
        <v>44</v>
      </c>
      <c r="G26" s="1962" t="s">
        <v>43</v>
      </c>
      <c r="H26" s="1962" t="s">
        <v>1487</v>
      </c>
      <c r="I26" s="1971" t="s">
        <v>1488</v>
      </c>
    </row>
    <row r="27" spans="1:9" s="46" customFormat="1" ht="10.5" customHeight="1">
      <c r="A27" s="10"/>
      <c r="B27" s="36" t="s">
        <v>42</v>
      </c>
      <c r="C27" s="35" t="s">
        <v>41</v>
      </c>
      <c r="D27" s="34" t="s">
        <v>40</v>
      </c>
      <c r="E27" s="33"/>
      <c r="F27" s="1963"/>
      <c r="G27" s="1963"/>
      <c r="H27" s="1963"/>
      <c r="I27" s="1972"/>
    </row>
    <row r="28" spans="1:9" s="46" customFormat="1" ht="20.25" customHeight="1" thickBot="1">
      <c r="A28" s="10"/>
      <c r="B28" s="31"/>
      <c r="C28" s="30"/>
      <c r="D28" s="29"/>
      <c r="E28" s="28" t="s">
        <v>38</v>
      </c>
      <c r="F28" s="1964"/>
      <c r="G28" s="1964"/>
      <c r="H28" s="1964"/>
      <c r="I28" s="1973"/>
    </row>
    <row r="29" spans="1:9" s="107" customFormat="1" ht="15.75" customHeight="1" thickTop="1" thickBot="1">
      <c r="A29" s="106"/>
      <c r="B29" s="117" t="s">
        <v>147</v>
      </c>
      <c r="C29" s="118" t="s">
        <v>160</v>
      </c>
      <c r="D29" s="118" t="s">
        <v>141</v>
      </c>
      <c r="E29" s="119" t="s">
        <v>161</v>
      </c>
      <c r="F29" s="132">
        <v>2000</v>
      </c>
      <c r="G29" s="132">
        <v>2000</v>
      </c>
      <c r="H29" s="132">
        <v>0</v>
      </c>
      <c r="I29" s="1494">
        <v>0</v>
      </c>
    </row>
    <row r="30" spans="1:9" s="46" customFormat="1" ht="10.5" customHeight="1" thickTop="1" thickBot="1">
      <c r="A30" s="10"/>
      <c r="B30" s="22"/>
      <c r="C30" s="22"/>
      <c r="D30" s="21"/>
      <c r="E30" s="20"/>
      <c r="F30" s="133"/>
      <c r="G30" s="133"/>
      <c r="H30" s="133"/>
      <c r="I30" s="133"/>
    </row>
    <row r="31" spans="1:9" s="46" customFormat="1" ht="15.75" customHeight="1" thickTop="1" thickBot="1">
      <c r="A31" s="10"/>
      <c r="B31" s="12"/>
      <c r="C31" s="12"/>
      <c r="D31" s="12"/>
      <c r="E31" s="15" t="s">
        <v>32</v>
      </c>
      <c r="F31" s="134">
        <f>SUM(F29:F29)</f>
        <v>2000</v>
      </c>
      <c r="G31" s="134">
        <f>SUM(G29:G29)</f>
        <v>2000</v>
      </c>
      <c r="H31" s="134">
        <f>SUM(H29:H29)</f>
        <v>0</v>
      </c>
      <c r="I31" s="1495">
        <f>SUM(I29:I29)</f>
        <v>0</v>
      </c>
    </row>
    <row r="32" spans="1:9" ht="7.5" customHeight="1" thickTop="1" thickBot="1">
      <c r="A32" s="10"/>
      <c r="B32" s="12"/>
      <c r="C32" s="12"/>
      <c r="D32" s="12"/>
      <c r="E32" s="12"/>
      <c r="F32" s="135"/>
      <c r="G32" s="135"/>
      <c r="H32" s="135"/>
      <c r="I32" s="135"/>
    </row>
    <row r="33" spans="1:9" s="44" customFormat="1" ht="15.75" customHeight="1" thickTop="1" thickBot="1">
      <c r="A33" s="10"/>
      <c r="B33" s="9"/>
      <c r="C33" s="8"/>
      <c r="D33" s="8"/>
      <c r="E33" s="8" t="s">
        <v>162</v>
      </c>
      <c r="F33" s="136">
        <f>SUM(F19,F29)</f>
        <v>2555</v>
      </c>
      <c r="G33" s="136">
        <f>SUM(G19,G29)</f>
        <v>3014.779</v>
      </c>
      <c r="H33" s="136">
        <f>SUM(H19,H29)</f>
        <v>320</v>
      </c>
      <c r="I33" s="1496">
        <f>SUM(I19,I29)</f>
        <v>320</v>
      </c>
    </row>
    <row r="34" spans="1:9" ht="15.75" thickTop="1"/>
    <row r="37" spans="1:9">
      <c r="B37" s="3" t="s">
        <v>163</v>
      </c>
    </row>
  </sheetData>
  <mergeCells count="9">
    <mergeCell ref="I26:I28"/>
    <mergeCell ref="I4:I6"/>
    <mergeCell ref="B14:E14"/>
    <mergeCell ref="F26:F28"/>
    <mergeCell ref="G26:G28"/>
    <mergeCell ref="H26:H28"/>
    <mergeCell ref="F4:F6"/>
    <mergeCell ref="G4:G6"/>
    <mergeCell ref="H4:H6"/>
  </mergeCells>
  <printOptions horizontalCentered="1"/>
  <pageMargins left="0.78740157480314965" right="0.78740157480314965" top="0.78740157480314965" bottom="0.78740157480314965" header="0.39370078740157483" footer="0.39370078740157483"/>
  <pageSetup paperSize="9" scale="94" firstPageNumber="53" orientation="portrait" useFirstPageNumber="1" r:id="rId1"/>
  <headerFooter>
    <oddHeader>&amp;C&amp;"+,Tučné"II. Rozpis rozpočtu</oddHeader>
    <oddFooter>&amp;C&amp;"-,Obyčejné"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J29"/>
  <sheetViews>
    <sheetView zoomScaleNormal="100" zoomScaleSheetLayoutView="90" workbookViewId="0">
      <selection activeCell="H4" sqref="H4:I6"/>
    </sheetView>
  </sheetViews>
  <sheetFormatPr defaultRowHeight="15"/>
  <cols>
    <col min="1" max="1" width="4" style="4" customWidth="1"/>
    <col min="2" max="4" width="5.7109375" style="3" customWidth="1"/>
    <col min="5" max="5" width="36.7109375" style="3" customWidth="1"/>
    <col min="6" max="6" width="9.85546875" style="2" customWidth="1"/>
    <col min="7" max="7" width="9.85546875" style="2" hidden="1" customWidth="1"/>
    <col min="8" max="9" width="9.85546875" style="2" customWidth="1"/>
    <col min="10" max="16384" width="9.140625" style="1"/>
  </cols>
  <sheetData>
    <row r="1" spans="1:10" ht="15.75" customHeight="1"/>
    <row r="2" spans="1:10" ht="15.75" customHeight="1"/>
    <row r="3" spans="1:10" ht="15.75" customHeight="1" thickBot="1"/>
    <row r="4" spans="1:10" ht="15.75" customHeight="1" thickTop="1">
      <c r="B4" s="41"/>
      <c r="C4" s="40"/>
      <c r="D4" s="39"/>
      <c r="E4" s="38"/>
      <c r="F4" s="1962" t="s">
        <v>44</v>
      </c>
      <c r="G4" s="1962" t="s">
        <v>43</v>
      </c>
      <c r="H4" s="1962" t="s">
        <v>1487</v>
      </c>
      <c r="I4" s="1971" t="s">
        <v>1488</v>
      </c>
    </row>
    <row r="5" spans="1:10" ht="15.75" customHeight="1">
      <c r="A5" s="4" t="s">
        <v>120</v>
      </c>
      <c r="B5" s="36" t="s">
        <v>42</v>
      </c>
      <c r="C5" s="35" t="s">
        <v>41</v>
      </c>
      <c r="D5" s="34" t="s">
        <v>40</v>
      </c>
      <c r="E5" s="33"/>
      <c r="F5" s="1963"/>
      <c r="G5" s="1963"/>
      <c r="H5" s="1963"/>
      <c r="I5" s="1972"/>
    </row>
    <row r="6" spans="1:10" ht="15.75" customHeight="1" thickBot="1">
      <c r="B6" s="31"/>
      <c r="C6" s="30"/>
      <c r="D6" s="29"/>
      <c r="E6" s="28" t="s">
        <v>38</v>
      </c>
      <c r="F6" s="1964"/>
      <c r="G6" s="1964"/>
      <c r="H6" s="1964"/>
      <c r="I6" s="1973"/>
    </row>
    <row r="7" spans="1:10" ht="15.75" customHeight="1" thickTop="1" thickBot="1">
      <c r="B7" s="316">
        <v>6171</v>
      </c>
      <c r="C7" s="317">
        <v>5137</v>
      </c>
      <c r="D7" s="230" t="s">
        <v>790</v>
      </c>
      <c r="E7" s="318" t="s">
        <v>791</v>
      </c>
      <c r="F7" s="556">
        <v>12</v>
      </c>
      <c r="G7" s="556">
        <v>12</v>
      </c>
      <c r="H7" s="556">
        <v>12</v>
      </c>
      <c r="I7" s="1488">
        <v>12</v>
      </c>
    </row>
    <row r="8" spans="1:10" ht="15.75" customHeight="1" thickBot="1">
      <c r="B8" s="80">
        <v>6171</v>
      </c>
      <c r="C8" s="60">
        <v>5139</v>
      </c>
      <c r="D8" s="61" t="s">
        <v>790</v>
      </c>
      <c r="E8" s="59" t="s">
        <v>50</v>
      </c>
      <c r="F8" s="557">
        <v>5</v>
      </c>
      <c r="G8" s="557">
        <v>5</v>
      </c>
      <c r="H8" s="557">
        <v>5</v>
      </c>
      <c r="I8" s="1489">
        <v>5</v>
      </c>
    </row>
    <row r="9" spans="1:10" ht="15.75" customHeight="1" thickBot="1">
      <c r="B9" s="80">
        <v>6171</v>
      </c>
      <c r="C9" s="60">
        <v>5166</v>
      </c>
      <c r="D9" s="61" t="s">
        <v>790</v>
      </c>
      <c r="E9" s="59" t="s">
        <v>792</v>
      </c>
      <c r="F9" s="557">
        <v>336</v>
      </c>
      <c r="G9" s="557">
        <v>336</v>
      </c>
      <c r="H9" s="557">
        <v>336</v>
      </c>
      <c r="I9" s="1489">
        <v>336</v>
      </c>
    </row>
    <row r="10" spans="1:10" ht="15.75" customHeight="1" thickBot="1">
      <c r="B10" s="80">
        <v>6171</v>
      </c>
      <c r="C10" s="60">
        <v>5169</v>
      </c>
      <c r="D10" s="61" t="s">
        <v>790</v>
      </c>
      <c r="E10" s="59" t="s">
        <v>55</v>
      </c>
      <c r="F10" s="557">
        <v>90</v>
      </c>
      <c r="G10" s="557">
        <v>90</v>
      </c>
      <c r="H10" s="557">
        <v>90</v>
      </c>
      <c r="I10" s="1489">
        <v>90</v>
      </c>
    </row>
    <row r="11" spans="1:10" ht="15.75" customHeight="1" thickBot="1">
      <c r="B11" s="80">
        <v>6171</v>
      </c>
      <c r="C11" s="60">
        <v>5175</v>
      </c>
      <c r="D11" s="61" t="s">
        <v>790</v>
      </c>
      <c r="E11" s="59" t="s">
        <v>793</v>
      </c>
      <c r="F11" s="557">
        <v>17</v>
      </c>
      <c r="G11" s="557">
        <v>17</v>
      </c>
      <c r="H11" s="557">
        <v>17</v>
      </c>
      <c r="I11" s="1489">
        <v>17</v>
      </c>
    </row>
    <row r="12" spans="1:10" ht="15.75" customHeight="1" thickBot="1">
      <c r="B12" s="80">
        <v>6171</v>
      </c>
      <c r="C12" s="60">
        <v>5192</v>
      </c>
      <c r="D12" s="61" t="s">
        <v>790</v>
      </c>
      <c r="E12" s="59" t="s">
        <v>794</v>
      </c>
      <c r="F12" s="557">
        <v>10</v>
      </c>
      <c r="G12" s="557">
        <v>10</v>
      </c>
      <c r="H12" s="557">
        <v>10</v>
      </c>
      <c r="I12" s="1489">
        <v>10</v>
      </c>
    </row>
    <row r="13" spans="1:10" s="107" customFormat="1" ht="15.75" customHeight="1" thickBot="1">
      <c r="A13" s="4">
        <v>501</v>
      </c>
      <c r="B13" s="1983" t="s">
        <v>795</v>
      </c>
      <c r="C13" s="1981"/>
      <c r="D13" s="1981"/>
      <c r="E13" s="1982"/>
      <c r="F13" s="55">
        <f>SUM(F7:F12)</f>
        <v>470</v>
      </c>
      <c r="G13" s="558">
        <f>SUM(G7:G12)</f>
        <v>470</v>
      </c>
      <c r="H13" s="558">
        <f>SUM(H7:H12)</f>
        <v>470</v>
      </c>
      <c r="I13" s="1464">
        <f>SUM(I7:I12)</f>
        <v>470</v>
      </c>
    </row>
    <row r="14" spans="1:10" s="107" customFormat="1" ht="15.75" customHeight="1" thickTop="1" thickBot="1">
      <c r="A14" s="4">
        <v>502</v>
      </c>
      <c r="B14" s="329">
        <v>2223</v>
      </c>
      <c r="C14" s="330">
        <v>5339</v>
      </c>
      <c r="D14" s="246" t="s">
        <v>790</v>
      </c>
      <c r="E14" s="342" t="s">
        <v>796</v>
      </c>
      <c r="F14" s="559">
        <v>100</v>
      </c>
      <c r="G14" s="560">
        <v>100</v>
      </c>
      <c r="H14" s="560">
        <v>100</v>
      </c>
      <c r="I14" s="1359">
        <v>100</v>
      </c>
    </row>
    <row r="15" spans="1:10" s="107" customFormat="1" ht="15.75" customHeight="1" thickBot="1">
      <c r="A15" s="4">
        <v>550</v>
      </c>
      <c r="B15" s="326">
        <v>2221</v>
      </c>
      <c r="C15" s="327">
        <v>5193</v>
      </c>
      <c r="D15" s="261" t="s">
        <v>664</v>
      </c>
      <c r="E15" s="328" t="s">
        <v>797</v>
      </c>
      <c r="F15" s="55">
        <v>69826</v>
      </c>
      <c r="G15" s="558">
        <f>69826+251.862</f>
        <v>70077.861999999994</v>
      </c>
      <c r="H15" s="558">
        <v>69829</v>
      </c>
      <c r="I15" s="1490">
        <v>69829</v>
      </c>
      <c r="J15" s="139"/>
    </row>
    <row r="16" spans="1:10" s="17" customFormat="1" ht="6" customHeight="1" thickTop="1" thickBot="1">
      <c r="A16" s="23"/>
      <c r="B16" s="22"/>
      <c r="C16" s="22"/>
      <c r="D16" s="21"/>
      <c r="E16" s="20"/>
      <c r="F16" s="18"/>
      <c r="G16" s="18"/>
      <c r="H16" s="18"/>
      <c r="I16" s="18"/>
    </row>
    <row r="17" spans="1:9" s="554" customFormat="1" ht="15.75" customHeight="1" thickTop="1" thickBot="1">
      <c r="A17" s="151"/>
      <c r="B17" s="16"/>
      <c r="C17" s="16"/>
      <c r="D17" s="16"/>
      <c r="E17" s="15" t="s">
        <v>30</v>
      </c>
      <c r="F17" s="152">
        <f>SUM(F13:F15)</f>
        <v>70396</v>
      </c>
      <c r="G17" s="152">
        <f>SUM(G13:G15)</f>
        <v>70647.861999999994</v>
      </c>
      <c r="H17" s="152">
        <f>SUM(H13:H15)</f>
        <v>70399</v>
      </c>
      <c r="I17" s="121">
        <f>SUM(I13:I15)</f>
        <v>70399</v>
      </c>
    </row>
    <row r="18" spans="1:9" s="554" customFormat="1" ht="15.75" hidden="1" customHeight="1" thickTop="1">
      <c r="A18" s="151"/>
      <c r="B18" s="16"/>
      <c r="C18" s="16"/>
      <c r="D18" s="16"/>
      <c r="E18" s="43"/>
      <c r="F18" s="293"/>
      <c r="G18" s="293"/>
      <c r="H18" s="293"/>
      <c r="I18" s="293"/>
    </row>
    <row r="19" spans="1:9" s="554" customFormat="1" ht="15.75" hidden="1" customHeight="1">
      <c r="A19" s="151"/>
      <c r="B19" s="16"/>
      <c r="C19" s="16"/>
      <c r="D19" s="16"/>
      <c r="E19" s="43"/>
      <c r="F19" s="293"/>
      <c r="G19" s="293"/>
      <c r="H19" s="293"/>
      <c r="I19" s="293"/>
    </row>
    <row r="20" spans="1:9" s="554" customFormat="1" ht="15.75" hidden="1" customHeight="1">
      <c r="A20" s="151"/>
      <c r="B20" s="16"/>
      <c r="C20" s="16"/>
      <c r="D20" s="16"/>
      <c r="E20" s="43"/>
      <c r="F20" s="293"/>
      <c r="G20" s="293"/>
      <c r="H20" s="293"/>
      <c r="I20" s="293"/>
    </row>
    <row r="21" spans="1:9" s="554" customFormat="1" ht="15.75" hidden="1" customHeight="1" thickBot="1">
      <c r="A21" s="151"/>
      <c r="B21" s="16"/>
      <c r="C21" s="16"/>
      <c r="D21" s="16"/>
      <c r="E21" s="43"/>
      <c r="F21" s="293"/>
      <c r="G21" s="293"/>
      <c r="H21" s="293"/>
      <c r="I21" s="293"/>
    </row>
    <row r="22" spans="1:9" s="554" customFormat="1" ht="15.75" hidden="1" customHeight="1" thickTop="1">
      <c r="A22" s="151"/>
      <c r="B22" s="41"/>
      <c r="C22" s="40"/>
      <c r="D22" s="39"/>
      <c r="E22" s="38"/>
      <c r="F22" s="1974"/>
      <c r="G22" s="1974"/>
      <c r="H22" s="1974"/>
      <c r="I22" s="1709"/>
    </row>
    <row r="23" spans="1:9" s="554" customFormat="1" ht="15.75" hidden="1" customHeight="1">
      <c r="A23" s="151"/>
      <c r="B23" s="36" t="s">
        <v>42</v>
      </c>
      <c r="C23" s="35" t="s">
        <v>41</v>
      </c>
      <c r="D23" s="34" t="s">
        <v>40</v>
      </c>
      <c r="E23" s="33"/>
      <c r="F23" s="1975"/>
      <c r="G23" s="1975"/>
      <c r="H23" s="1975"/>
      <c r="I23" s="1710"/>
    </row>
    <row r="24" spans="1:9" s="554" customFormat="1" ht="15.75" hidden="1" customHeight="1" thickBot="1">
      <c r="A24" s="151"/>
      <c r="B24" s="31"/>
      <c r="C24" s="30"/>
      <c r="D24" s="29"/>
      <c r="E24" s="28" t="s">
        <v>38</v>
      </c>
      <c r="F24" s="1976"/>
      <c r="G24" s="1976"/>
      <c r="H24" s="1976"/>
      <c r="I24" s="1711"/>
    </row>
    <row r="25" spans="1:9" s="554" customFormat="1" ht="6" hidden="1" customHeight="1" thickTop="1" thickBot="1">
      <c r="A25" s="151"/>
      <c r="B25" s="48"/>
      <c r="C25" s="48"/>
      <c r="D25" s="48"/>
      <c r="E25" s="43"/>
      <c r="F25" s="42"/>
      <c r="G25" s="42"/>
      <c r="H25" s="42"/>
      <c r="I25" s="42"/>
    </row>
    <row r="26" spans="1:9" s="554" customFormat="1" ht="15.75" hidden="1" customHeight="1" thickTop="1" thickBot="1">
      <c r="A26" s="151"/>
      <c r="B26" s="16"/>
      <c r="C26" s="16"/>
      <c r="D26" s="16"/>
      <c r="E26" s="15" t="s">
        <v>32</v>
      </c>
      <c r="F26" s="121"/>
      <c r="G26" s="121"/>
      <c r="H26" s="121"/>
      <c r="I26" s="121"/>
    </row>
    <row r="27" spans="1:9" s="157" customFormat="1" ht="7.5" customHeight="1" thickTop="1" thickBot="1">
      <c r="A27" s="10"/>
      <c r="B27" s="12"/>
      <c r="C27" s="12"/>
      <c r="D27" s="12"/>
      <c r="E27" s="12"/>
      <c r="F27" s="122"/>
      <c r="G27" s="122"/>
      <c r="H27" s="122"/>
      <c r="I27" s="122"/>
    </row>
    <row r="28" spans="1:9" s="44" customFormat="1" ht="15.75" customHeight="1" thickTop="1" thickBot="1">
      <c r="A28" s="10"/>
      <c r="B28" s="9"/>
      <c r="C28" s="8"/>
      <c r="D28" s="8"/>
      <c r="E28" s="8" t="s">
        <v>798</v>
      </c>
      <c r="F28" s="153">
        <f>SUM(F17,)</f>
        <v>70396</v>
      </c>
      <c r="G28" s="153">
        <f>SUM(G17,)</f>
        <v>70647.861999999994</v>
      </c>
      <c r="H28" s="153">
        <f>SUM(H17,)</f>
        <v>70399</v>
      </c>
      <c r="I28" s="154">
        <f>SUM(I17,)</f>
        <v>70399</v>
      </c>
    </row>
    <row r="29" spans="1:9" ht="15.75" thickTop="1"/>
  </sheetData>
  <mergeCells count="8">
    <mergeCell ref="I4:I6"/>
    <mergeCell ref="B13:E13"/>
    <mergeCell ref="H22:H24"/>
    <mergeCell ref="F22:F24"/>
    <mergeCell ref="G22:G24"/>
    <mergeCell ref="G4:G6"/>
    <mergeCell ref="H4:H6"/>
    <mergeCell ref="F4:F6"/>
  </mergeCells>
  <printOptions horizontalCentered="1"/>
  <pageMargins left="0.78740157480314965" right="0.78740157480314965" top="0.78740157480314965" bottom="0.78740157480314965" header="0.39370078740157483" footer="0.39370078740157483"/>
  <pageSetup paperSize="9" scale="94" firstPageNumber="54" orientation="portrait" useFirstPageNumber="1" r:id="rId1"/>
  <headerFooter>
    <oddHeader>&amp;C&amp;"+,Tučné"II. Rozpis rozpočtu</oddHeader>
    <oddFooter>&amp;C&amp;"-,Obyčejné"&amp;P</oddFooter>
  </headerFooter>
  <ignoredErrors>
    <ignoredError sqref="D7:D12" numberStoredAsText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I245"/>
  <sheetViews>
    <sheetView zoomScaleNormal="100" workbookViewId="0">
      <selection activeCell="E25" sqref="E25"/>
    </sheetView>
  </sheetViews>
  <sheetFormatPr defaultRowHeight="15"/>
  <cols>
    <col min="1" max="1" width="4" style="156" customWidth="1"/>
    <col min="2" max="4" width="5.7109375" style="157" customWidth="1"/>
    <col min="5" max="5" width="36.7109375" style="157" customWidth="1"/>
    <col min="6" max="6" width="9.85546875" style="158" customWidth="1"/>
    <col min="7" max="7" width="9.85546875" style="158" hidden="1" customWidth="1"/>
    <col min="8" max="9" width="9.85546875" style="158" customWidth="1"/>
    <col min="10" max="16384" width="9.140625" style="1"/>
  </cols>
  <sheetData>
    <row r="1" spans="1:9" ht="15.75" customHeight="1">
      <c r="A1" s="138"/>
      <c r="B1" s="107"/>
      <c r="C1" s="107"/>
      <c r="D1" s="107"/>
      <c r="E1" s="107"/>
      <c r="F1" s="139"/>
      <c r="G1" s="139"/>
      <c r="H1" s="139"/>
      <c r="I1" s="139"/>
    </row>
    <row r="2" spans="1:9" ht="15.75" customHeight="1">
      <c r="A2" s="138"/>
      <c r="B2" s="107"/>
      <c r="C2" s="107"/>
      <c r="D2" s="107"/>
      <c r="E2" s="107"/>
      <c r="F2" s="139"/>
      <c r="G2" s="139"/>
      <c r="H2" s="139"/>
      <c r="I2" s="139"/>
    </row>
    <row r="3" spans="1:9" ht="15.75" customHeight="1" thickBot="1">
      <c r="A3" s="138"/>
      <c r="B3" s="107"/>
      <c r="C3" s="107"/>
      <c r="D3" s="107"/>
      <c r="E3" s="107"/>
      <c r="F3" s="139"/>
      <c r="G3" s="139"/>
      <c r="H3" s="139"/>
      <c r="I3" s="139"/>
    </row>
    <row r="4" spans="1:9" ht="15.75" customHeight="1" thickTop="1">
      <c r="A4" s="138"/>
      <c r="B4" s="41"/>
      <c r="C4" s="40"/>
      <c r="D4" s="39"/>
      <c r="E4" s="38"/>
      <c r="F4" s="1962" t="s">
        <v>44</v>
      </c>
      <c r="G4" s="1962" t="s">
        <v>43</v>
      </c>
      <c r="H4" s="1962" t="s">
        <v>1487</v>
      </c>
      <c r="I4" s="1971" t="s">
        <v>1488</v>
      </c>
    </row>
    <row r="5" spans="1:9" ht="15.75" customHeight="1">
      <c r="A5" s="138" t="s">
        <v>120</v>
      </c>
      <c r="B5" s="36" t="s">
        <v>42</v>
      </c>
      <c r="C5" s="35" t="s">
        <v>41</v>
      </c>
      <c r="D5" s="34" t="s">
        <v>40</v>
      </c>
      <c r="E5" s="33"/>
      <c r="F5" s="1963"/>
      <c r="G5" s="1963"/>
      <c r="H5" s="1963"/>
      <c r="I5" s="1972"/>
    </row>
    <row r="6" spans="1:9" ht="15.75" customHeight="1" thickBot="1">
      <c r="A6" s="138"/>
      <c r="B6" s="31"/>
      <c r="C6" s="30"/>
      <c r="D6" s="29"/>
      <c r="E6" s="28" t="s">
        <v>38</v>
      </c>
      <c r="F6" s="1964"/>
      <c r="G6" s="1964"/>
      <c r="H6" s="1964"/>
      <c r="I6" s="1973"/>
    </row>
    <row r="7" spans="1:9" ht="15.75" customHeight="1" thickTop="1" thickBot="1">
      <c r="A7" s="138"/>
      <c r="B7" s="1325" t="s">
        <v>52</v>
      </c>
      <c r="C7" s="1326" t="s">
        <v>167</v>
      </c>
      <c r="D7" s="1326" t="s">
        <v>166</v>
      </c>
      <c r="E7" s="112" t="s">
        <v>168</v>
      </c>
      <c r="F7" s="518">
        <v>0</v>
      </c>
      <c r="G7" s="518">
        <v>15</v>
      </c>
      <c r="H7" s="518">
        <v>14</v>
      </c>
      <c r="I7" s="1327">
        <v>14</v>
      </c>
    </row>
    <row r="8" spans="1:9" ht="15.75" customHeight="1" thickBot="1">
      <c r="A8" s="138"/>
      <c r="B8" s="141">
        <v>6171</v>
      </c>
      <c r="C8" s="142">
        <v>5901</v>
      </c>
      <c r="D8" s="143" t="s">
        <v>166</v>
      </c>
      <c r="E8" s="144" t="s">
        <v>169</v>
      </c>
      <c r="F8" s="145">
        <v>26</v>
      </c>
      <c r="G8" s="145">
        <v>11</v>
      </c>
      <c r="H8" s="145">
        <v>9</v>
      </c>
      <c r="I8" s="1328">
        <v>9</v>
      </c>
    </row>
    <row r="9" spans="1:9" s="17" customFormat="1" ht="6" customHeight="1" thickTop="1" thickBot="1">
      <c r="A9" s="146"/>
      <c r="B9" s="147"/>
      <c r="C9" s="147"/>
      <c r="D9" s="148"/>
      <c r="E9" s="149"/>
      <c r="F9" s="150"/>
      <c r="G9" s="150"/>
      <c r="H9" s="150"/>
      <c r="I9" s="150"/>
    </row>
    <row r="10" spans="1:9" s="16" customFormat="1" ht="15.75" customHeight="1" thickTop="1" thickBot="1">
      <c r="A10" s="151">
        <v>501</v>
      </c>
      <c r="E10" s="15" t="s">
        <v>30</v>
      </c>
      <c r="F10" s="152">
        <f>SUM(F7:F8)</f>
        <v>26</v>
      </c>
      <c r="G10" s="152">
        <f>SUM(G7:G8)</f>
        <v>26</v>
      </c>
      <c r="H10" s="152">
        <f>SUM(H7:H8)</f>
        <v>23</v>
      </c>
      <c r="I10" s="121">
        <f>SUM(I7:I8)</f>
        <v>23</v>
      </c>
    </row>
    <row r="11" spans="1:9" s="12" customFormat="1" ht="7.5" customHeight="1" thickTop="1" thickBot="1">
      <c r="A11" s="10"/>
      <c r="F11" s="122"/>
      <c r="G11" s="122"/>
      <c r="H11" s="122"/>
      <c r="I11" s="122"/>
    </row>
    <row r="12" spans="1:9" s="155" customFormat="1" ht="15.75" customHeight="1" thickTop="1" thickBot="1">
      <c r="A12" s="10"/>
      <c r="B12" s="1984" t="s">
        <v>170</v>
      </c>
      <c r="C12" s="1985"/>
      <c r="D12" s="1985"/>
      <c r="E12" s="1986"/>
      <c r="F12" s="153">
        <f>SUM(F10)</f>
        <v>26</v>
      </c>
      <c r="G12" s="153">
        <f>SUM(G10)</f>
        <v>26</v>
      </c>
      <c r="H12" s="153">
        <f>SUM(H10)</f>
        <v>23</v>
      </c>
      <c r="I12" s="154">
        <f>SUM(I10)</f>
        <v>23</v>
      </c>
    </row>
    <row r="13" spans="1:9" ht="15.75" thickTop="1">
      <c r="B13" s="107"/>
      <c r="C13" s="107"/>
      <c r="D13" s="107"/>
      <c r="E13" s="107"/>
      <c r="F13" s="139"/>
      <c r="G13" s="139"/>
      <c r="H13" s="139"/>
      <c r="I13" s="139"/>
    </row>
    <row r="14" spans="1:9">
      <c r="B14" s="107"/>
      <c r="C14" s="107"/>
      <c r="D14" s="107"/>
      <c r="E14" s="107"/>
      <c r="F14" s="139"/>
      <c r="G14" s="139"/>
      <c r="H14" s="139"/>
      <c r="I14" s="139"/>
    </row>
    <row r="15" spans="1:9">
      <c r="B15" s="107"/>
      <c r="C15" s="107"/>
      <c r="D15" s="107"/>
      <c r="E15" s="107"/>
      <c r="F15" s="139"/>
      <c r="G15" s="139"/>
      <c r="H15" s="139"/>
      <c r="I15" s="139"/>
    </row>
    <row r="16" spans="1:9">
      <c r="B16" s="107"/>
      <c r="C16" s="107"/>
      <c r="D16" s="107"/>
      <c r="E16" s="107"/>
      <c r="F16" s="139"/>
      <c r="G16" s="139"/>
      <c r="H16" s="139"/>
      <c r="I16" s="139"/>
    </row>
    <row r="17" spans="2:9">
      <c r="B17" s="107"/>
      <c r="C17" s="107"/>
      <c r="D17" s="107"/>
      <c r="E17" s="107"/>
      <c r="F17" s="139"/>
      <c r="G17" s="139"/>
      <c r="H17" s="139"/>
      <c r="I17" s="139"/>
    </row>
    <row r="18" spans="2:9">
      <c r="B18" s="107"/>
      <c r="C18" s="107"/>
      <c r="D18" s="107"/>
      <c r="E18" s="107"/>
      <c r="F18" s="139"/>
      <c r="G18" s="139"/>
      <c r="H18" s="139"/>
      <c r="I18" s="139"/>
    </row>
    <row r="19" spans="2:9">
      <c r="B19" s="107"/>
      <c r="C19" s="107"/>
      <c r="D19" s="107"/>
      <c r="E19" s="107"/>
      <c r="F19" s="139"/>
      <c r="G19" s="139"/>
      <c r="H19" s="139"/>
      <c r="I19" s="139"/>
    </row>
    <row r="20" spans="2:9">
      <c r="B20" s="107"/>
      <c r="C20" s="107"/>
      <c r="D20" s="107"/>
      <c r="E20" s="107"/>
      <c r="F20" s="139"/>
      <c r="G20" s="139"/>
      <c r="H20" s="139"/>
      <c r="I20" s="139"/>
    </row>
    <row r="21" spans="2:9">
      <c r="B21" s="107"/>
      <c r="C21" s="107"/>
      <c r="D21" s="107"/>
      <c r="E21" s="107"/>
      <c r="F21" s="139"/>
      <c r="G21" s="139"/>
      <c r="H21" s="139"/>
      <c r="I21" s="139"/>
    </row>
    <row r="22" spans="2:9">
      <c r="B22" s="107"/>
      <c r="C22" s="107"/>
      <c r="D22" s="107"/>
      <c r="E22" s="107"/>
      <c r="F22" s="139"/>
      <c r="G22" s="139"/>
      <c r="H22" s="139"/>
      <c r="I22" s="139"/>
    </row>
    <row r="23" spans="2:9">
      <c r="B23" s="107"/>
      <c r="C23" s="107"/>
      <c r="D23" s="107"/>
      <c r="E23" s="107"/>
      <c r="F23" s="139"/>
      <c r="G23" s="139"/>
      <c r="H23" s="139"/>
      <c r="I23" s="139"/>
    </row>
    <row r="24" spans="2:9">
      <c r="B24" s="107"/>
      <c r="C24" s="107"/>
      <c r="D24" s="107"/>
      <c r="E24" s="107"/>
      <c r="F24" s="139"/>
      <c r="G24" s="139"/>
      <c r="H24" s="139"/>
      <c r="I24" s="139"/>
    </row>
    <row r="25" spans="2:9">
      <c r="B25" s="107"/>
      <c r="C25" s="107"/>
      <c r="D25" s="107"/>
      <c r="E25" s="107"/>
      <c r="F25" s="139"/>
      <c r="G25" s="139"/>
      <c r="H25" s="139"/>
      <c r="I25" s="139"/>
    </row>
    <row r="26" spans="2:9">
      <c r="B26" s="107"/>
      <c r="C26" s="107"/>
      <c r="D26" s="107"/>
      <c r="E26" s="107"/>
      <c r="F26" s="139"/>
      <c r="G26" s="139"/>
      <c r="H26" s="139"/>
      <c r="I26" s="139"/>
    </row>
    <row r="27" spans="2:9">
      <c r="B27" s="107"/>
      <c r="C27" s="107"/>
      <c r="D27" s="107"/>
      <c r="E27" s="107"/>
      <c r="F27" s="139"/>
      <c r="G27" s="139"/>
      <c r="H27" s="139"/>
      <c r="I27" s="139"/>
    </row>
    <row r="28" spans="2:9">
      <c r="B28" s="107"/>
      <c r="C28" s="107"/>
      <c r="D28" s="107"/>
      <c r="E28" s="107"/>
      <c r="F28" s="139"/>
      <c r="G28" s="139"/>
      <c r="H28" s="139"/>
      <c r="I28" s="139"/>
    </row>
    <row r="29" spans="2:9">
      <c r="B29" s="107"/>
      <c r="C29" s="107"/>
      <c r="D29" s="107"/>
      <c r="E29" s="107"/>
      <c r="F29" s="139"/>
      <c r="G29" s="139"/>
      <c r="H29" s="139"/>
      <c r="I29" s="139"/>
    </row>
    <row r="30" spans="2:9">
      <c r="B30" s="107"/>
      <c r="C30" s="107"/>
      <c r="D30" s="107"/>
      <c r="E30" s="107"/>
      <c r="F30" s="139"/>
      <c r="G30" s="139"/>
      <c r="H30" s="139"/>
      <c r="I30" s="139"/>
    </row>
    <row r="31" spans="2:9">
      <c r="B31" s="107"/>
      <c r="C31" s="107"/>
      <c r="D31" s="107"/>
      <c r="E31" s="107"/>
      <c r="F31" s="139"/>
      <c r="G31" s="139"/>
      <c r="H31" s="139"/>
      <c r="I31" s="139"/>
    </row>
    <row r="32" spans="2:9">
      <c r="B32" s="107"/>
      <c r="C32" s="107"/>
      <c r="D32" s="107"/>
      <c r="E32" s="107"/>
      <c r="F32" s="139"/>
      <c r="G32" s="139"/>
      <c r="H32" s="139"/>
      <c r="I32" s="139"/>
    </row>
    <row r="33" spans="2:9">
      <c r="B33" s="107"/>
      <c r="C33" s="107"/>
      <c r="D33" s="107"/>
      <c r="E33" s="107"/>
      <c r="F33" s="139"/>
      <c r="G33" s="139"/>
      <c r="H33" s="139"/>
      <c r="I33" s="139"/>
    </row>
    <row r="34" spans="2:9">
      <c r="B34" s="107"/>
      <c r="C34" s="107"/>
      <c r="D34" s="107"/>
      <c r="E34" s="107"/>
      <c r="F34" s="139"/>
      <c r="G34" s="139"/>
      <c r="H34" s="139"/>
      <c r="I34" s="139"/>
    </row>
    <row r="35" spans="2:9">
      <c r="B35" s="107"/>
      <c r="C35" s="107"/>
      <c r="D35" s="107"/>
      <c r="E35" s="107"/>
      <c r="F35" s="139"/>
      <c r="G35" s="139"/>
      <c r="H35" s="139"/>
      <c r="I35" s="139"/>
    </row>
    <row r="36" spans="2:9">
      <c r="B36" s="107"/>
      <c r="C36" s="107"/>
      <c r="D36" s="107"/>
      <c r="E36" s="107"/>
      <c r="F36" s="139"/>
      <c r="G36" s="139"/>
      <c r="H36" s="139"/>
      <c r="I36" s="139"/>
    </row>
    <row r="37" spans="2:9">
      <c r="B37" s="107"/>
      <c r="C37" s="107"/>
      <c r="D37" s="107"/>
      <c r="E37" s="107"/>
      <c r="F37" s="139"/>
      <c r="G37" s="139"/>
      <c r="H37" s="139"/>
      <c r="I37" s="139"/>
    </row>
    <row r="38" spans="2:9">
      <c r="B38" s="107"/>
      <c r="C38" s="107"/>
      <c r="D38" s="107"/>
      <c r="E38" s="107"/>
      <c r="F38" s="139"/>
      <c r="G38" s="139"/>
      <c r="H38" s="139"/>
      <c r="I38" s="139"/>
    </row>
    <row r="39" spans="2:9">
      <c r="B39" s="107"/>
      <c r="C39" s="107"/>
      <c r="D39" s="107"/>
      <c r="E39" s="107"/>
      <c r="F39" s="139"/>
      <c r="G39" s="139"/>
      <c r="H39" s="139"/>
      <c r="I39" s="139"/>
    </row>
    <row r="40" spans="2:9">
      <c r="B40" s="107"/>
      <c r="C40" s="107"/>
      <c r="D40" s="107"/>
      <c r="E40" s="107"/>
      <c r="F40" s="139"/>
      <c r="G40" s="139"/>
      <c r="H40" s="139"/>
      <c r="I40" s="139"/>
    </row>
    <row r="41" spans="2:9">
      <c r="B41" s="107"/>
      <c r="C41" s="107"/>
      <c r="D41" s="107"/>
      <c r="E41" s="107"/>
      <c r="F41" s="139"/>
      <c r="G41" s="139"/>
      <c r="H41" s="139"/>
      <c r="I41" s="139"/>
    </row>
    <row r="42" spans="2:9">
      <c r="B42" s="107"/>
      <c r="C42" s="107"/>
      <c r="D42" s="107"/>
      <c r="E42" s="107"/>
      <c r="F42" s="139"/>
      <c r="G42" s="139"/>
      <c r="H42" s="139"/>
      <c r="I42" s="139"/>
    </row>
    <row r="43" spans="2:9">
      <c r="B43" s="107"/>
      <c r="C43" s="107"/>
      <c r="D43" s="107"/>
      <c r="E43" s="107"/>
      <c r="F43" s="139"/>
      <c r="G43" s="139"/>
      <c r="H43" s="139"/>
      <c r="I43" s="139"/>
    </row>
    <row r="44" spans="2:9">
      <c r="B44" s="107"/>
      <c r="C44" s="107"/>
      <c r="D44" s="107"/>
      <c r="E44" s="107"/>
      <c r="F44" s="139"/>
      <c r="G44" s="139"/>
      <c r="H44" s="139"/>
      <c r="I44" s="139"/>
    </row>
    <row r="45" spans="2:9">
      <c r="B45" s="107"/>
      <c r="C45" s="107"/>
      <c r="D45" s="107"/>
      <c r="E45" s="107"/>
      <c r="F45" s="139"/>
      <c r="G45" s="139"/>
      <c r="H45" s="139"/>
      <c r="I45" s="139"/>
    </row>
    <row r="46" spans="2:9">
      <c r="B46" s="107"/>
      <c r="C46" s="107"/>
      <c r="D46" s="107"/>
      <c r="E46" s="107"/>
      <c r="F46" s="139"/>
      <c r="G46" s="139"/>
      <c r="H46" s="139"/>
      <c r="I46" s="139"/>
    </row>
    <row r="47" spans="2:9">
      <c r="B47" s="107"/>
      <c r="C47" s="107"/>
      <c r="D47" s="107"/>
      <c r="E47" s="107"/>
      <c r="F47" s="139"/>
      <c r="G47" s="139"/>
      <c r="H47" s="139"/>
      <c r="I47" s="139"/>
    </row>
    <row r="48" spans="2:9">
      <c r="B48" s="107"/>
      <c r="C48" s="107"/>
      <c r="D48" s="107"/>
      <c r="E48" s="107"/>
      <c r="F48" s="139"/>
      <c r="G48" s="139"/>
      <c r="H48" s="139"/>
      <c r="I48" s="139"/>
    </row>
    <row r="49" spans="2:9">
      <c r="B49" s="107"/>
      <c r="C49" s="107"/>
      <c r="D49" s="107"/>
      <c r="E49" s="107"/>
      <c r="F49" s="139"/>
      <c r="G49" s="139"/>
      <c r="H49" s="139"/>
      <c r="I49" s="139"/>
    </row>
    <row r="50" spans="2:9">
      <c r="B50" s="107"/>
      <c r="C50" s="107"/>
      <c r="D50" s="107"/>
      <c r="E50" s="107"/>
      <c r="F50" s="139"/>
      <c r="G50" s="139"/>
      <c r="H50" s="139"/>
      <c r="I50" s="139"/>
    </row>
    <row r="51" spans="2:9">
      <c r="B51" s="107"/>
      <c r="C51" s="107"/>
      <c r="D51" s="107"/>
      <c r="E51" s="107"/>
      <c r="F51" s="139"/>
      <c r="G51" s="139"/>
      <c r="H51" s="139"/>
      <c r="I51" s="139"/>
    </row>
    <row r="52" spans="2:9">
      <c r="B52" s="107"/>
      <c r="C52" s="107"/>
      <c r="D52" s="107"/>
      <c r="E52" s="107"/>
      <c r="F52" s="139"/>
      <c r="G52" s="139"/>
      <c r="H52" s="139"/>
      <c r="I52" s="139"/>
    </row>
    <row r="53" spans="2:9">
      <c r="B53" s="107"/>
      <c r="C53" s="107"/>
      <c r="D53" s="107"/>
      <c r="E53" s="107"/>
      <c r="F53" s="139"/>
      <c r="G53" s="139"/>
      <c r="H53" s="139"/>
      <c r="I53" s="139"/>
    </row>
    <row r="54" spans="2:9">
      <c r="B54" s="107"/>
      <c r="C54" s="107"/>
      <c r="D54" s="107"/>
      <c r="E54" s="107"/>
      <c r="F54" s="139"/>
      <c r="G54" s="139"/>
      <c r="H54" s="139"/>
      <c r="I54" s="139"/>
    </row>
    <row r="55" spans="2:9">
      <c r="B55" s="107"/>
      <c r="C55" s="107"/>
      <c r="D55" s="107"/>
      <c r="E55" s="107"/>
      <c r="F55" s="139"/>
      <c r="G55" s="139"/>
      <c r="H55" s="139"/>
      <c r="I55" s="139"/>
    </row>
    <row r="56" spans="2:9">
      <c r="B56" s="107"/>
      <c r="C56" s="107"/>
      <c r="D56" s="107"/>
      <c r="E56" s="107"/>
      <c r="F56" s="139"/>
      <c r="G56" s="139"/>
      <c r="H56" s="139"/>
      <c r="I56" s="139"/>
    </row>
    <row r="57" spans="2:9">
      <c r="B57" s="107"/>
      <c r="C57" s="107"/>
      <c r="D57" s="107"/>
      <c r="E57" s="107"/>
      <c r="F57" s="139"/>
      <c r="G57" s="139"/>
      <c r="H57" s="139"/>
      <c r="I57" s="139"/>
    </row>
    <row r="58" spans="2:9">
      <c r="B58" s="107"/>
      <c r="C58" s="107"/>
      <c r="D58" s="107"/>
      <c r="E58" s="107"/>
      <c r="F58" s="139"/>
      <c r="G58" s="139"/>
      <c r="H58" s="139"/>
      <c r="I58" s="139"/>
    </row>
    <row r="59" spans="2:9">
      <c r="B59" s="107"/>
      <c r="C59" s="107"/>
      <c r="D59" s="107"/>
      <c r="E59" s="107"/>
      <c r="F59" s="139"/>
      <c r="G59" s="139"/>
      <c r="H59" s="139"/>
      <c r="I59" s="139"/>
    </row>
    <row r="60" spans="2:9">
      <c r="B60" s="107"/>
      <c r="C60" s="107"/>
      <c r="D60" s="107"/>
      <c r="E60" s="107"/>
      <c r="F60" s="139"/>
      <c r="G60" s="139"/>
      <c r="H60" s="139"/>
      <c r="I60" s="139"/>
    </row>
    <row r="61" spans="2:9">
      <c r="B61" s="107"/>
      <c r="C61" s="107"/>
      <c r="D61" s="107"/>
      <c r="E61" s="107"/>
      <c r="F61" s="139"/>
      <c r="G61" s="139"/>
      <c r="H61" s="139"/>
      <c r="I61" s="139"/>
    </row>
    <row r="62" spans="2:9">
      <c r="B62" s="107"/>
      <c r="C62" s="107"/>
      <c r="D62" s="107"/>
      <c r="E62" s="107"/>
      <c r="F62" s="139"/>
      <c r="G62" s="139"/>
      <c r="H62" s="139"/>
      <c r="I62" s="139"/>
    </row>
    <row r="63" spans="2:9">
      <c r="B63" s="107"/>
      <c r="C63" s="107"/>
      <c r="D63" s="107"/>
      <c r="E63" s="107"/>
      <c r="F63" s="139"/>
      <c r="G63" s="139"/>
      <c r="H63" s="139"/>
      <c r="I63" s="139"/>
    </row>
    <row r="64" spans="2:9">
      <c r="B64" s="107"/>
      <c r="C64" s="107"/>
      <c r="D64" s="107"/>
      <c r="E64" s="107"/>
      <c r="F64" s="139"/>
      <c r="G64" s="139"/>
      <c r="H64" s="139"/>
      <c r="I64" s="139"/>
    </row>
    <row r="65" spans="2:9">
      <c r="B65" s="107"/>
      <c r="C65" s="107"/>
      <c r="D65" s="107"/>
      <c r="E65" s="107"/>
      <c r="F65" s="139"/>
      <c r="G65" s="139"/>
      <c r="H65" s="139"/>
      <c r="I65" s="139"/>
    </row>
    <row r="66" spans="2:9">
      <c r="B66" s="107"/>
      <c r="C66" s="107"/>
      <c r="D66" s="107"/>
      <c r="E66" s="107"/>
      <c r="F66" s="139"/>
      <c r="G66" s="139"/>
      <c r="H66" s="139"/>
      <c r="I66" s="139"/>
    </row>
    <row r="67" spans="2:9">
      <c r="B67" s="107"/>
      <c r="C67" s="107"/>
      <c r="D67" s="107"/>
      <c r="E67" s="107"/>
      <c r="F67" s="139"/>
      <c r="G67" s="139"/>
      <c r="H67" s="139"/>
      <c r="I67" s="139"/>
    </row>
    <row r="68" spans="2:9">
      <c r="B68" s="107"/>
      <c r="C68" s="107"/>
      <c r="D68" s="107"/>
      <c r="E68" s="107"/>
      <c r="F68" s="139"/>
      <c r="G68" s="139"/>
      <c r="H68" s="139"/>
      <c r="I68" s="139"/>
    </row>
    <row r="69" spans="2:9">
      <c r="B69" s="107"/>
      <c r="C69" s="107"/>
      <c r="D69" s="107"/>
      <c r="E69" s="107"/>
      <c r="F69" s="139"/>
      <c r="G69" s="139"/>
      <c r="H69" s="139"/>
      <c r="I69" s="139"/>
    </row>
    <row r="70" spans="2:9">
      <c r="B70" s="107"/>
      <c r="C70" s="107"/>
      <c r="D70" s="107"/>
      <c r="E70" s="107"/>
      <c r="F70" s="139"/>
      <c r="G70" s="139"/>
      <c r="H70" s="139"/>
      <c r="I70" s="139"/>
    </row>
    <row r="71" spans="2:9">
      <c r="B71" s="107"/>
      <c r="C71" s="107"/>
      <c r="D71" s="107"/>
      <c r="E71" s="107"/>
      <c r="F71" s="139"/>
      <c r="G71" s="139"/>
      <c r="H71" s="139"/>
      <c r="I71" s="139"/>
    </row>
    <row r="72" spans="2:9">
      <c r="B72" s="107"/>
      <c r="C72" s="107"/>
      <c r="D72" s="107"/>
      <c r="E72" s="107"/>
      <c r="F72" s="139"/>
      <c r="G72" s="139"/>
      <c r="H72" s="139"/>
      <c r="I72" s="139"/>
    </row>
    <row r="73" spans="2:9">
      <c r="B73" s="107"/>
      <c r="C73" s="107"/>
      <c r="D73" s="107"/>
      <c r="E73" s="107"/>
      <c r="F73" s="139"/>
      <c r="G73" s="139"/>
      <c r="H73" s="139"/>
      <c r="I73" s="139"/>
    </row>
    <row r="74" spans="2:9">
      <c r="B74" s="107"/>
      <c r="C74" s="107"/>
      <c r="D74" s="107"/>
      <c r="E74" s="107"/>
      <c r="F74" s="139"/>
      <c r="G74" s="139"/>
      <c r="H74" s="139"/>
      <c r="I74" s="139"/>
    </row>
    <row r="75" spans="2:9">
      <c r="B75" s="107"/>
      <c r="C75" s="107"/>
      <c r="D75" s="107"/>
      <c r="E75" s="107"/>
      <c r="F75" s="139"/>
      <c r="G75" s="139"/>
      <c r="H75" s="139"/>
      <c r="I75" s="139"/>
    </row>
    <row r="76" spans="2:9">
      <c r="B76" s="107"/>
      <c r="C76" s="107"/>
      <c r="D76" s="107"/>
      <c r="E76" s="107"/>
      <c r="F76" s="139"/>
      <c r="G76" s="139"/>
      <c r="H76" s="139"/>
      <c r="I76" s="139"/>
    </row>
    <row r="77" spans="2:9">
      <c r="B77" s="107"/>
      <c r="C77" s="107"/>
      <c r="D77" s="107"/>
      <c r="E77" s="107"/>
      <c r="F77" s="139"/>
      <c r="G77" s="139"/>
      <c r="H77" s="139"/>
      <c r="I77" s="139"/>
    </row>
    <row r="78" spans="2:9">
      <c r="B78" s="107"/>
      <c r="C78" s="107"/>
      <c r="D78" s="107"/>
      <c r="E78" s="107"/>
      <c r="F78" s="139"/>
      <c r="G78" s="139"/>
      <c r="H78" s="139"/>
      <c r="I78" s="139"/>
    </row>
    <row r="79" spans="2:9">
      <c r="B79" s="107"/>
      <c r="C79" s="107"/>
      <c r="D79" s="107"/>
      <c r="E79" s="107"/>
      <c r="F79" s="139"/>
      <c r="G79" s="139"/>
      <c r="H79" s="139"/>
      <c r="I79" s="139"/>
    </row>
    <row r="80" spans="2:9">
      <c r="B80" s="107"/>
      <c r="C80" s="107"/>
      <c r="D80" s="107"/>
      <c r="E80" s="107"/>
      <c r="F80" s="139"/>
      <c r="G80" s="139"/>
      <c r="H80" s="139"/>
      <c r="I80" s="139"/>
    </row>
    <row r="81" spans="2:9">
      <c r="B81" s="107"/>
      <c r="C81" s="107"/>
      <c r="D81" s="107"/>
      <c r="E81" s="107"/>
      <c r="F81" s="139"/>
      <c r="G81" s="139"/>
      <c r="H81" s="139"/>
      <c r="I81" s="139"/>
    </row>
    <row r="82" spans="2:9">
      <c r="B82" s="107"/>
      <c r="C82" s="107"/>
      <c r="D82" s="107"/>
      <c r="E82" s="107"/>
      <c r="F82" s="139"/>
      <c r="G82" s="139"/>
      <c r="H82" s="139"/>
      <c r="I82" s="139"/>
    </row>
    <row r="83" spans="2:9">
      <c r="B83" s="107"/>
      <c r="C83" s="107"/>
      <c r="D83" s="107"/>
      <c r="E83" s="107"/>
      <c r="F83" s="139"/>
      <c r="G83" s="139"/>
      <c r="H83" s="139"/>
      <c r="I83" s="139"/>
    </row>
    <row r="84" spans="2:9">
      <c r="B84" s="107"/>
      <c r="C84" s="107"/>
      <c r="D84" s="107"/>
      <c r="E84" s="107"/>
      <c r="F84" s="139"/>
      <c r="G84" s="139"/>
      <c r="H84" s="139"/>
      <c r="I84" s="139"/>
    </row>
    <row r="85" spans="2:9">
      <c r="B85" s="107"/>
      <c r="C85" s="107"/>
      <c r="D85" s="107"/>
      <c r="E85" s="107"/>
      <c r="F85" s="139"/>
      <c r="G85" s="139"/>
      <c r="H85" s="139"/>
      <c r="I85" s="139"/>
    </row>
    <row r="86" spans="2:9">
      <c r="B86" s="107"/>
      <c r="C86" s="107"/>
      <c r="D86" s="107"/>
      <c r="E86" s="107"/>
      <c r="F86" s="139"/>
      <c r="G86" s="139"/>
      <c r="H86" s="139"/>
      <c r="I86" s="139"/>
    </row>
    <row r="87" spans="2:9">
      <c r="B87" s="107"/>
      <c r="C87" s="107"/>
      <c r="D87" s="107"/>
      <c r="E87" s="107"/>
      <c r="F87" s="139"/>
      <c r="G87" s="139"/>
      <c r="H87" s="139"/>
      <c r="I87" s="139"/>
    </row>
    <row r="88" spans="2:9">
      <c r="B88" s="107"/>
      <c r="C88" s="107"/>
      <c r="D88" s="107"/>
      <c r="E88" s="107"/>
      <c r="F88" s="139"/>
      <c r="G88" s="139"/>
      <c r="H88" s="139"/>
      <c r="I88" s="139"/>
    </row>
    <row r="89" spans="2:9">
      <c r="B89" s="107"/>
      <c r="C89" s="107"/>
      <c r="D89" s="107"/>
      <c r="E89" s="107"/>
      <c r="F89" s="139"/>
      <c r="G89" s="139"/>
      <c r="H89" s="139"/>
      <c r="I89" s="139"/>
    </row>
    <row r="90" spans="2:9">
      <c r="B90" s="107"/>
      <c r="C90" s="107"/>
      <c r="D90" s="107"/>
      <c r="E90" s="107"/>
      <c r="F90" s="139"/>
      <c r="G90" s="139"/>
      <c r="H90" s="139"/>
      <c r="I90" s="139"/>
    </row>
    <row r="91" spans="2:9">
      <c r="B91" s="107"/>
      <c r="C91" s="107"/>
      <c r="D91" s="107"/>
      <c r="E91" s="107"/>
      <c r="F91" s="139"/>
      <c r="G91" s="139"/>
      <c r="H91" s="139"/>
      <c r="I91" s="139"/>
    </row>
    <row r="92" spans="2:9">
      <c r="B92" s="107"/>
      <c r="C92" s="107"/>
      <c r="D92" s="107"/>
      <c r="E92" s="107"/>
      <c r="F92" s="139"/>
      <c r="G92" s="139"/>
      <c r="H92" s="139"/>
      <c r="I92" s="139"/>
    </row>
    <row r="93" spans="2:9">
      <c r="B93" s="107"/>
      <c r="C93" s="107"/>
      <c r="D93" s="107"/>
      <c r="E93" s="107"/>
      <c r="F93" s="139"/>
      <c r="G93" s="139"/>
      <c r="H93" s="139"/>
      <c r="I93" s="139"/>
    </row>
    <row r="94" spans="2:9">
      <c r="B94" s="107"/>
      <c r="C94" s="107"/>
      <c r="D94" s="107"/>
      <c r="E94" s="107"/>
      <c r="F94" s="139"/>
      <c r="G94" s="139"/>
      <c r="H94" s="139"/>
      <c r="I94" s="139"/>
    </row>
    <row r="95" spans="2:9">
      <c r="B95" s="107"/>
      <c r="C95" s="107"/>
      <c r="D95" s="107"/>
      <c r="E95" s="107"/>
      <c r="F95" s="139"/>
      <c r="G95" s="139"/>
      <c r="H95" s="139"/>
      <c r="I95" s="139"/>
    </row>
    <row r="96" spans="2:9">
      <c r="B96" s="107"/>
      <c r="C96" s="107"/>
      <c r="D96" s="107"/>
      <c r="E96" s="107"/>
      <c r="F96" s="139"/>
      <c r="G96" s="139"/>
      <c r="H96" s="139"/>
      <c r="I96" s="139"/>
    </row>
    <row r="97" spans="2:9">
      <c r="B97" s="107"/>
      <c r="C97" s="107"/>
      <c r="D97" s="107"/>
      <c r="E97" s="107"/>
      <c r="F97" s="139"/>
      <c r="G97" s="139"/>
      <c r="H97" s="139"/>
      <c r="I97" s="139"/>
    </row>
    <row r="98" spans="2:9">
      <c r="B98" s="107"/>
      <c r="C98" s="107"/>
      <c r="D98" s="107"/>
      <c r="E98" s="107"/>
      <c r="F98" s="139"/>
      <c r="G98" s="139"/>
      <c r="H98" s="139"/>
      <c r="I98" s="139"/>
    </row>
    <row r="99" spans="2:9">
      <c r="B99" s="107"/>
      <c r="C99" s="107"/>
      <c r="D99" s="107"/>
      <c r="E99" s="107"/>
      <c r="F99" s="139"/>
      <c r="G99" s="139"/>
      <c r="H99" s="139"/>
      <c r="I99" s="139"/>
    </row>
    <row r="100" spans="2:9">
      <c r="B100" s="107"/>
      <c r="C100" s="107"/>
      <c r="D100" s="107"/>
      <c r="E100" s="107"/>
      <c r="F100" s="139"/>
      <c r="G100" s="139"/>
      <c r="H100" s="139"/>
      <c r="I100" s="139"/>
    </row>
    <row r="101" spans="2:9">
      <c r="B101" s="107"/>
      <c r="C101" s="107"/>
      <c r="D101" s="107"/>
      <c r="E101" s="107"/>
      <c r="F101" s="139"/>
      <c r="G101" s="139"/>
      <c r="H101" s="139"/>
      <c r="I101" s="139"/>
    </row>
    <row r="102" spans="2:9">
      <c r="B102" s="107"/>
      <c r="C102" s="107"/>
      <c r="D102" s="107"/>
      <c r="E102" s="107"/>
      <c r="F102" s="139"/>
      <c r="G102" s="139"/>
      <c r="H102" s="139"/>
      <c r="I102" s="139"/>
    </row>
    <row r="103" spans="2:9">
      <c r="B103" s="107"/>
      <c r="C103" s="107"/>
      <c r="D103" s="107"/>
      <c r="E103" s="107"/>
      <c r="F103" s="139"/>
      <c r="G103" s="139"/>
      <c r="H103" s="139"/>
      <c r="I103" s="139"/>
    </row>
    <row r="104" spans="2:9">
      <c r="B104" s="107"/>
      <c r="C104" s="107"/>
      <c r="D104" s="107"/>
      <c r="E104" s="107"/>
      <c r="F104" s="139"/>
      <c r="G104" s="139"/>
      <c r="H104" s="139"/>
      <c r="I104" s="139"/>
    </row>
    <row r="105" spans="2:9">
      <c r="B105" s="107"/>
      <c r="C105" s="107"/>
      <c r="D105" s="107"/>
      <c r="E105" s="107"/>
      <c r="F105" s="139"/>
      <c r="G105" s="139"/>
      <c r="H105" s="139"/>
      <c r="I105" s="139"/>
    </row>
    <row r="106" spans="2:9">
      <c r="B106" s="107"/>
      <c r="C106" s="107"/>
      <c r="D106" s="107"/>
      <c r="E106" s="107"/>
      <c r="F106" s="139"/>
      <c r="G106" s="139"/>
      <c r="H106" s="139"/>
      <c r="I106" s="139"/>
    </row>
    <row r="107" spans="2:9">
      <c r="B107" s="107"/>
      <c r="C107" s="107"/>
      <c r="D107" s="107"/>
      <c r="E107" s="107"/>
      <c r="F107" s="139"/>
      <c r="G107" s="139"/>
      <c r="H107" s="139"/>
      <c r="I107" s="139"/>
    </row>
    <row r="108" spans="2:9">
      <c r="B108" s="107"/>
      <c r="C108" s="107"/>
      <c r="D108" s="107"/>
      <c r="E108" s="107"/>
      <c r="F108" s="139"/>
      <c r="G108" s="139"/>
      <c r="H108" s="139"/>
      <c r="I108" s="139"/>
    </row>
    <row r="109" spans="2:9">
      <c r="B109" s="107"/>
      <c r="C109" s="107"/>
      <c r="D109" s="107"/>
      <c r="E109" s="107"/>
      <c r="F109" s="139"/>
      <c r="G109" s="139"/>
      <c r="H109" s="139"/>
      <c r="I109" s="139"/>
    </row>
    <row r="110" spans="2:9">
      <c r="B110" s="107"/>
      <c r="C110" s="107"/>
      <c r="D110" s="107"/>
      <c r="E110" s="107"/>
      <c r="F110" s="139"/>
      <c r="G110" s="139"/>
      <c r="H110" s="139"/>
      <c r="I110" s="139"/>
    </row>
    <row r="111" spans="2:9">
      <c r="B111" s="107"/>
      <c r="C111" s="107"/>
      <c r="D111" s="107"/>
      <c r="E111" s="107"/>
      <c r="F111" s="139"/>
      <c r="G111" s="139"/>
      <c r="H111" s="139"/>
      <c r="I111" s="139"/>
    </row>
    <row r="112" spans="2:9">
      <c r="B112" s="107"/>
      <c r="C112" s="107"/>
      <c r="D112" s="107"/>
      <c r="E112" s="107"/>
      <c r="F112" s="139"/>
      <c r="G112" s="139"/>
      <c r="H112" s="139"/>
      <c r="I112" s="139"/>
    </row>
    <row r="113" spans="2:9">
      <c r="B113" s="107"/>
      <c r="C113" s="107"/>
      <c r="D113" s="107"/>
      <c r="E113" s="107"/>
      <c r="F113" s="139"/>
      <c r="G113" s="139"/>
      <c r="H113" s="139"/>
      <c r="I113" s="139"/>
    </row>
    <row r="114" spans="2:9">
      <c r="B114" s="107"/>
      <c r="C114" s="107"/>
      <c r="D114" s="107"/>
      <c r="E114" s="107"/>
      <c r="F114" s="139"/>
      <c r="G114" s="139"/>
      <c r="H114" s="139"/>
      <c r="I114" s="139"/>
    </row>
    <row r="115" spans="2:9">
      <c r="B115" s="107"/>
      <c r="C115" s="107"/>
      <c r="D115" s="107"/>
      <c r="E115" s="107"/>
      <c r="F115" s="139"/>
      <c r="G115" s="139"/>
      <c r="H115" s="139"/>
      <c r="I115" s="139"/>
    </row>
    <row r="116" spans="2:9">
      <c r="B116" s="107"/>
      <c r="C116" s="107"/>
      <c r="D116" s="107"/>
      <c r="E116" s="107"/>
      <c r="F116" s="139"/>
      <c r="G116" s="139"/>
      <c r="H116" s="139"/>
      <c r="I116" s="139"/>
    </row>
    <row r="117" spans="2:9">
      <c r="B117" s="107"/>
      <c r="C117" s="107"/>
      <c r="D117" s="107"/>
      <c r="E117" s="107"/>
      <c r="F117" s="139"/>
      <c r="G117" s="139"/>
      <c r="H117" s="139"/>
      <c r="I117" s="139"/>
    </row>
    <row r="118" spans="2:9">
      <c r="B118" s="107"/>
      <c r="C118" s="107"/>
      <c r="D118" s="107"/>
      <c r="E118" s="107"/>
      <c r="F118" s="139"/>
      <c r="G118" s="139"/>
      <c r="H118" s="139"/>
      <c r="I118" s="139"/>
    </row>
    <row r="119" spans="2:9">
      <c r="B119" s="107"/>
      <c r="C119" s="107"/>
      <c r="D119" s="107"/>
      <c r="E119" s="107"/>
      <c r="F119" s="139"/>
      <c r="G119" s="139"/>
      <c r="H119" s="139"/>
      <c r="I119" s="139"/>
    </row>
    <row r="120" spans="2:9">
      <c r="B120" s="107"/>
      <c r="C120" s="107"/>
      <c r="D120" s="107"/>
      <c r="E120" s="107"/>
      <c r="F120" s="139"/>
      <c r="G120" s="139"/>
      <c r="H120" s="139"/>
      <c r="I120" s="139"/>
    </row>
    <row r="121" spans="2:9">
      <c r="B121" s="107"/>
      <c r="C121" s="107"/>
      <c r="D121" s="107"/>
      <c r="E121" s="107"/>
      <c r="F121" s="139"/>
      <c r="G121" s="139"/>
      <c r="H121" s="139"/>
      <c r="I121" s="139"/>
    </row>
    <row r="122" spans="2:9">
      <c r="B122" s="107"/>
      <c r="C122" s="107"/>
      <c r="D122" s="107"/>
      <c r="E122" s="107"/>
      <c r="F122" s="139"/>
      <c r="G122" s="139"/>
      <c r="H122" s="139"/>
      <c r="I122" s="139"/>
    </row>
    <row r="123" spans="2:9">
      <c r="B123" s="107"/>
      <c r="C123" s="107"/>
      <c r="D123" s="107"/>
      <c r="E123" s="107"/>
      <c r="F123" s="139"/>
      <c r="G123" s="139"/>
      <c r="H123" s="139"/>
      <c r="I123" s="139"/>
    </row>
    <row r="124" spans="2:9">
      <c r="B124" s="107"/>
      <c r="C124" s="107"/>
      <c r="D124" s="107"/>
      <c r="E124" s="107"/>
      <c r="F124" s="139"/>
      <c r="G124" s="139"/>
      <c r="H124" s="139"/>
      <c r="I124" s="139"/>
    </row>
    <row r="125" spans="2:9">
      <c r="B125" s="107"/>
      <c r="C125" s="107"/>
      <c r="D125" s="107"/>
      <c r="E125" s="107"/>
      <c r="F125" s="139"/>
      <c r="G125" s="139"/>
      <c r="H125" s="139"/>
      <c r="I125" s="139"/>
    </row>
    <row r="126" spans="2:9">
      <c r="B126" s="107"/>
      <c r="C126" s="107"/>
      <c r="D126" s="107"/>
      <c r="E126" s="107"/>
      <c r="F126" s="139"/>
      <c r="G126" s="139"/>
      <c r="H126" s="139"/>
      <c r="I126" s="139"/>
    </row>
    <row r="127" spans="2:9">
      <c r="B127" s="107"/>
      <c r="C127" s="107"/>
      <c r="D127" s="107"/>
      <c r="E127" s="107"/>
      <c r="F127" s="139"/>
      <c r="G127" s="139"/>
      <c r="H127" s="139"/>
      <c r="I127" s="139"/>
    </row>
    <row r="128" spans="2:9">
      <c r="B128" s="107"/>
      <c r="C128" s="107"/>
      <c r="D128" s="107"/>
      <c r="E128" s="107"/>
      <c r="F128" s="139"/>
      <c r="G128" s="139"/>
      <c r="H128" s="139"/>
      <c r="I128" s="139"/>
    </row>
    <row r="129" spans="2:9">
      <c r="B129" s="107"/>
      <c r="C129" s="107"/>
      <c r="D129" s="107"/>
      <c r="E129" s="107"/>
      <c r="F129" s="139"/>
      <c r="G129" s="139"/>
      <c r="H129" s="139"/>
      <c r="I129" s="139"/>
    </row>
    <row r="130" spans="2:9">
      <c r="B130" s="107"/>
      <c r="C130" s="107"/>
      <c r="D130" s="107"/>
      <c r="E130" s="107"/>
      <c r="F130" s="139"/>
      <c r="G130" s="139"/>
      <c r="H130" s="139"/>
      <c r="I130" s="139"/>
    </row>
    <row r="131" spans="2:9">
      <c r="B131" s="107"/>
      <c r="C131" s="107"/>
      <c r="D131" s="107"/>
      <c r="E131" s="107"/>
      <c r="F131" s="139"/>
      <c r="G131" s="139"/>
      <c r="H131" s="139"/>
      <c r="I131" s="139"/>
    </row>
    <row r="132" spans="2:9">
      <c r="B132" s="107"/>
      <c r="C132" s="107"/>
      <c r="D132" s="107"/>
      <c r="E132" s="107"/>
      <c r="F132" s="139"/>
      <c r="G132" s="139"/>
      <c r="H132" s="139"/>
      <c r="I132" s="139"/>
    </row>
    <row r="133" spans="2:9">
      <c r="B133" s="107"/>
      <c r="C133" s="107"/>
      <c r="D133" s="107"/>
      <c r="E133" s="107"/>
      <c r="F133" s="139"/>
      <c r="G133" s="139"/>
      <c r="H133" s="139"/>
      <c r="I133" s="139"/>
    </row>
    <row r="134" spans="2:9">
      <c r="B134" s="107"/>
      <c r="C134" s="107"/>
      <c r="D134" s="107"/>
      <c r="E134" s="107"/>
      <c r="F134" s="139"/>
      <c r="G134" s="139"/>
      <c r="H134" s="139"/>
      <c r="I134" s="139"/>
    </row>
    <row r="135" spans="2:9">
      <c r="B135" s="107"/>
      <c r="C135" s="107"/>
      <c r="D135" s="107"/>
      <c r="E135" s="107"/>
      <c r="F135" s="139"/>
      <c r="G135" s="139"/>
      <c r="H135" s="139"/>
      <c r="I135" s="139"/>
    </row>
    <row r="136" spans="2:9">
      <c r="B136" s="107"/>
      <c r="C136" s="107"/>
      <c r="D136" s="107"/>
      <c r="E136" s="107"/>
      <c r="F136" s="139"/>
      <c r="G136" s="139"/>
      <c r="H136" s="139"/>
      <c r="I136" s="139"/>
    </row>
    <row r="137" spans="2:9">
      <c r="B137" s="107"/>
      <c r="C137" s="107"/>
      <c r="D137" s="107"/>
      <c r="E137" s="107"/>
      <c r="F137" s="139"/>
      <c r="G137" s="139"/>
      <c r="H137" s="139"/>
      <c r="I137" s="139"/>
    </row>
    <row r="138" spans="2:9">
      <c r="B138" s="107"/>
      <c r="C138" s="107"/>
      <c r="D138" s="107"/>
      <c r="E138" s="107"/>
      <c r="F138" s="139"/>
      <c r="G138" s="139"/>
      <c r="H138" s="139"/>
      <c r="I138" s="139"/>
    </row>
    <row r="139" spans="2:9">
      <c r="B139" s="107"/>
      <c r="C139" s="107"/>
      <c r="D139" s="107"/>
      <c r="E139" s="107"/>
      <c r="F139" s="139"/>
      <c r="G139" s="139"/>
      <c r="H139" s="139"/>
      <c r="I139" s="139"/>
    </row>
    <row r="140" spans="2:9">
      <c r="B140" s="107"/>
      <c r="C140" s="107"/>
      <c r="D140" s="107"/>
      <c r="E140" s="107"/>
      <c r="F140" s="139"/>
      <c r="G140" s="139"/>
      <c r="H140" s="139"/>
      <c r="I140" s="139"/>
    </row>
    <row r="141" spans="2:9">
      <c r="B141" s="107"/>
      <c r="C141" s="107"/>
      <c r="D141" s="107"/>
      <c r="E141" s="107"/>
      <c r="F141" s="139"/>
      <c r="G141" s="139"/>
      <c r="H141" s="139"/>
      <c r="I141" s="139"/>
    </row>
    <row r="142" spans="2:9">
      <c r="B142" s="107"/>
      <c r="C142" s="107"/>
      <c r="D142" s="107"/>
      <c r="E142" s="107"/>
      <c r="F142" s="139"/>
      <c r="G142" s="139"/>
      <c r="H142" s="139"/>
      <c r="I142" s="139"/>
    </row>
    <row r="143" spans="2:9">
      <c r="B143" s="107"/>
      <c r="C143" s="107"/>
      <c r="D143" s="107"/>
      <c r="E143" s="107"/>
      <c r="F143" s="139"/>
      <c r="G143" s="139"/>
      <c r="H143" s="139"/>
      <c r="I143" s="139"/>
    </row>
    <row r="144" spans="2:9">
      <c r="B144" s="107"/>
      <c r="C144" s="107"/>
      <c r="D144" s="107"/>
      <c r="E144" s="107"/>
      <c r="F144" s="139"/>
      <c r="G144" s="139"/>
      <c r="H144" s="139"/>
      <c r="I144" s="139"/>
    </row>
    <row r="145" spans="2:9">
      <c r="B145" s="107"/>
      <c r="C145" s="107"/>
      <c r="D145" s="107"/>
      <c r="E145" s="107"/>
      <c r="F145" s="139"/>
      <c r="G145" s="139"/>
      <c r="H145" s="139"/>
      <c r="I145" s="139"/>
    </row>
    <row r="146" spans="2:9">
      <c r="B146" s="107"/>
      <c r="C146" s="107"/>
      <c r="D146" s="107"/>
      <c r="E146" s="107"/>
      <c r="F146" s="139"/>
      <c r="G146" s="139"/>
      <c r="H146" s="139"/>
      <c r="I146" s="139"/>
    </row>
    <row r="147" spans="2:9">
      <c r="B147" s="107"/>
      <c r="C147" s="107"/>
      <c r="D147" s="107"/>
      <c r="E147" s="107"/>
      <c r="F147" s="139"/>
      <c r="G147" s="139"/>
      <c r="H147" s="139"/>
      <c r="I147" s="139"/>
    </row>
    <row r="148" spans="2:9">
      <c r="B148" s="107"/>
      <c r="C148" s="107"/>
      <c r="D148" s="107"/>
      <c r="E148" s="107"/>
      <c r="F148" s="139"/>
      <c r="G148" s="139"/>
      <c r="H148" s="139"/>
      <c r="I148" s="139"/>
    </row>
    <row r="149" spans="2:9">
      <c r="B149" s="107"/>
      <c r="C149" s="107"/>
      <c r="D149" s="107"/>
      <c r="E149" s="107"/>
      <c r="F149" s="139"/>
      <c r="G149" s="139"/>
      <c r="H149" s="139"/>
      <c r="I149" s="139"/>
    </row>
    <row r="150" spans="2:9">
      <c r="B150" s="107"/>
      <c r="C150" s="107"/>
      <c r="D150" s="107"/>
      <c r="E150" s="107"/>
      <c r="F150" s="139"/>
      <c r="G150" s="139"/>
      <c r="H150" s="139"/>
      <c r="I150" s="139"/>
    </row>
    <row r="151" spans="2:9">
      <c r="B151" s="107"/>
      <c r="C151" s="107"/>
      <c r="D151" s="107"/>
      <c r="E151" s="107"/>
      <c r="F151" s="139"/>
      <c r="G151" s="139"/>
      <c r="H151" s="139"/>
      <c r="I151" s="139"/>
    </row>
    <row r="152" spans="2:9">
      <c r="B152" s="107"/>
      <c r="C152" s="107"/>
      <c r="D152" s="107"/>
      <c r="E152" s="107"/>
      <c r="F152" s="139"/>
      <c r="G152" s="139"/>
      <c r="H152" s="139"/>
      <c r="I152" s="139"/>
    </row>
    <row r="153" spans="2:9">
      <c r="B153" s="107"/>
      <c r="C153" s="107"/>
      <c r="D153" s="107"/>
      <c r="E153" s="107"/>
      <c r="F153" s="139"/>
      <c r="G153" s="139"/>
      <c r="H153" s="139"/>
      <c r="I153" s="139"/>
    </row>
    <row r="154" spans="2:9">
      <c r="B154" s="107"/>
      <c r="C154" s="107"/>
      <c r="D154" s="107"/>
      <c r="E154" s="107"/>
      <c r="F154" s="139"/>
      <c r="G154" s="139"/>
      <c r="H154" s="139"/>
      <c r="I154" s="139"/>
    </row>
    <row r="155" spans="2:9">
      <c r="B155" s="107"/>
      <c r="C155" s="107"/>
      <c r="D155" s="107"/>
      <c r="E155" s="107"/>
      <c r="F155" s="139"/>
      <c r="G155" s="139"/>
      <c r="H155" s="139"/>
      <c r="I155" s="139"/>
    </row>
    <row r="156" spans="2:9">
      <c r="B156" s="107"/>
      <c r="C156" s="107"/>
      <c r="D156" s="107"/>
      <c r="E156" s="107"/>
      <c r="F156" s="139"/>
      <c r="G156" s="139"/>
      <c r="H156" s="139"/>
      <c r="I156" s="139"/>
    </row>
    <row r="157" spans="2:9">
      <c r="B157" s="107"/>
      <c r="C157" s="107"/>
      <c r="D157" s="107"/>
      <c r="E157" s="107"/>
      <c r="F157" s="139"/>
      <c r="G157" s="139"/>
      <c r="H157" s="139"/>
      <c r="I157" s="139"/>
    </row>
    <row r="158" spans="2:9">
      <c r="B158" s="107"/>
      <c r="C158" s="107"/>
      <c r="D158" s="107"/>
      <c r="E158" s="107"/>
      <c r="F158" s="139"/>
      <c r="G158" s="139"/>
      <c r="H158" s="139"/>
      <c r="I158" s="139"/>
    </row>
    <row r="159" spans="2:9">
      <c r="B159" s="107"/>
      <c r="C159" s="107"/>
      <c r="D159" s="107"/>
      <c r="E159" s="107"/>
      <c r="F159" s="139"/>
      <c r="G159" s="139"/>
      <c r="H159" s="139"/>
      <c r="I159" s="139"/>
    </row>
    <row r="160" spans="2:9">
      <c r="B160" s="107"/>
      <c r="C160" s="107"/>
      <c r="D160" s="107"/>
      <c r="E160" s="107"/>
      <c r="F160" s="139"/>
      <c r="G160" s="139"/>
      <c r="H160" s="139"/>
      <c r="I160" s="139"/>
    </row>
    <row r="161" spans="2:9">
      <c r="B161" s="107"/>
      <c r="C161" s="107"/>
      <c r="D161" s="107"/>
      <c r="E161" s="107"/>
      <c r="F161" s="139"/>
      <c r="G161" s="139"/>
      <c r="H161" s="139"/>
      <c r="I161" s="139"/>
    </row>
    <row r="162" spans="2:9">
      <c r="B162" s="107"/>
      <c r="C162" s="107"/>
      <c r="D162" s="107"/>
      <c r="E162" s="107"/>
      <c r="F162" s="139"/>
      <c r="G162" s="139"/>
      <c r="H162" s="139"/>
      <c r="I162" s="139"/>
    </row>
    <row r="163" spans="2:9">
      <c r="B163" s="107"/>
      <c r="C163" s="107"/>
      <c r="D163" s="107"/>
      <c r="E163" s="107"/>
      <c r="F163" s="139"/>
      <c r="G163" s="139"/>
      <c r="H163" s="139"/>
      <c r="I163" s="139"/>
    </row>
    <row r="164" spans="2:9">
      <c r="B164" s="107"/>
      <c r="C164" s="107"/>
      <c r="D164" s="107"/>
      <c r="E164" s="107"/>
      <c r="F164" s="139"/>
      <c r="G164" s="139"/>
      <c r="H164" s="139"/>
      <c r="I164" s="139"/>
    </row>
    <row r="165" spans="2:9">
      <c r="B165" s="107"/>
      <c r="C165" s="107"/>
      <c r="D165" s="107"/>
      <c r="E165" s="107"/>
      <c r="F165" s="139"/>
      <c r="G165" s="139"/>
      <c r="H165" s="139"/>
      <c r="I165" s="139"/>
    </row>
    <row r="166" spans="2:9">
      <c r="B166" s="107"/>
      <c r="C166" s="107"/>
      <c r="D166" s="107"/>
      <c r="E166" s="107"/>
      <c r="F166" s="139"/>
      <c r="G166" s="139"/>
      <c r="H166" s="139"/>
      <c r="I166" s="139"/>
    </row>
    <row r="167" spans="2:9">
      <c r="B167" s="107"/>
      <c r="C167" s="107"/>
      <c r="D167" s="107"/>
      <c r="E167" s="107"/>
      <c r="F167" s="139"/>
      <c r="G167" s="139"/>
      <c r="H167" s="139"/>
      <c r="I167" s="139"/>
    </row>
    <row r="168" spans="2:9">
      <c r="B168" s="107"/>
      <c r="C168" s="107"/>
      <c r="D168" s="107"/>
      <c r="E168" s="107"/>
      <c r="F168" s="139"/>
      <c r="G168" s="139"/>
      <c r="H168" s="139"/>
      <c r="I168" s="139"/>
    </row>
    <row r="169" spans="2:9">
      <c r="B169" s="107"/>
      <c r="C169" s="107"/>
      <c r="D169" s="107"/>
      <c r="E169" s="107"/>
      <c r="F169" s="139"/>
      <c r="G169" s="139"/>
      <c r="H169" s="139"/>
      <c r="I169" s="139"/>
    </row>
    <row r="170" spans="2:9">
      <c r="B170" s="107"/>
      <c r="C170" s="107"/>
      <c r="D170" s="107"/>
      <c r="E170" s="107"/>
      <c r="F170" s="139"/>
      <c r="G170" s="139"/>
      <c r="H170" s="139"/>
      <c r="I170" s="139"/>
    </row>
    <row r="171" spans="2:9">
      <c r="B171" s="107"/>
      <c r="C171" s="107"/>
      <c r="D171" s="107"/>
      <c r="E171" s="107"/>
      <c r="F171" s="139"/>
      <c r="G171" s="139"/>
      <c r="H171" s="139"/>
      <c r="I171" s="139"/>
    </row>
    <row r="172" spans="2:9">
      <c r="B172" s="107"/>
      <c r="C172" s="107"/>
      <c r="D172" s="107"/>
      <c r="E172" s="107"/>
      <c r="F172" s="139"/>
      <c r="G172" s="139"/>
      <c r="H172" s="139"/>
      <c r="I172" s="139"/>
    </row>
    <row r="173" spans="2:9">
      <c r="B173" s="107"/>
      <c r="C173" s="107"/>
      <c r="D173" s="107"/>
      <c r="E173" s="107"/>
      <c r="F173" s="139"/>
      <c r="G173" s="139"/>
      <c r="H173" s="139"/>
      <c r="I173" s="139"/>
    </row>
    <row r="174" spans="2:9">
      <c r="B174" s="107"/>
      <c r="C174" s="107"/>
      <c r="D174" s="107"/>
      <c r="E174" s="107"/>
      <c r="F174" s="139"/>
      <c r="G174" s="139"/>
      <c r="H174" s="139"/>
      <c r="I174" s="139"/>
    </row>
    <row r="175" spans="2:9">
      <c r="B175" s="107"/>
      <c r="C175" s="107"/>
      <c r="D175" s="107"/>
      <c r="E175" s="107"/>
      <c r="F175" s="139"/>
      <c r="G175" s="139"/>
      <c r="H175" s="139"/>
      <c r="I175" s="139"/>
    </row>
    <row r="176" spans="2:9">
      <c r="B176" s="107"/>
      <c r="C176" s="107"/>
      <c r="D176" s="107"/>
      <c r="E176" s="107"/>
      <c r="F176" s="139"/>
      <c r="G176" s="139"/>
      <c r="H176" s="139"/>
      <c r="I176" s="139"/>
    </row>
    <row r="177" spans="2:9">
      <c r="B177" s="107"/>
      <c r="C177" s="107"/>
      <c r="D177" s="107"/>
      <c r="E177" s="107"/>
      <c r="F177" s="139"/>
      <c r="G177" s="139"/>
      <c r="H177" s="139"/>
      <c r="I177" s="139"/>
    </row>
    <row r="178" spans="2:9">
      <c r="B178" s="107"/>
      <c r="C178" s="107"/>
      <c r="D178" s="107"/>
      <c r="E178" s="107"/>
      <c r="F178" s="139"/>
      <c r="G178" s="139"/>
      <c r="H178" s="139"/>
      <c r="I178" s="139"/>
    </row>
    <row r="179" spans="2:9">
      <c r="B179" s="107"/>
      <c r="C179" s="107"/>
      <c r="D179" s="107"/>
      <c r="E179" s="107"/>
      <c r="F179" s="139"/>
      <c r="G179" s="139"/>
      <c r="H179" s="139"/>
      <c r="I179" s="139"/>
    </row>
    <row r="180" spans="2:9">
      <c r="B180" s="107"/>
      <c r="C180" s="107"/>
      <c r="D180" s="107"/>
      <c r="E180" s="107"/>
      <c r="F180" s="139"/>
      <c r="G180" s="139"/>
      <c r="H180" s="139"/>
      <c r="I180" s="139"/>
    </row>
    <row r="181" spans="2:9">
      <c r="B181" s="107"/>
      <c r="C181" s="107"/>
      <c r="D181" s="107"/>
      <c r="E181" s="107"/>
      <c r="F181" s="139"/>
      <c r="G181" s="139"/>
      <c r="H181" s="139"/>
      <c r="I181" s="139"/>
    </row>
    <row r="182" spans="2:9">
      <c r="B182" s="107"/>
      <c r="C182" s="107"/>
      <c r="D182" s="107"/>
      <c r="E182" s="107"/>
      <c r="F182" s="139"/>
      <c r="G182" s="139"/>
      <c r="H182" s="139"/>
      <c r="I182" s="139"/>
    </row>
    <row r="183" spans="2:9">
      <c r="B183" s="107"/>
      <c r="C183" s="107"/>
      <c r="D183" s="107"/>
      <c r="E183" s="107"/>
      <c r="F183" s="139"/>
      <c r="G183" s="139"/>
      <c r="H183" s="139"/>
      <c r="I183" s="139"/>
    </row>
    <row r="184" spans="2:9">
      <c r="B184" s="107"/>
      <c r="C184" s="107"/>
      <c r="D184" s="107"/>
      <c r="E184" s="107"/>
      <c r="F184" s="139"/>
      <c r="G184" s="139"/>
      <c r="H184" s="139"/>
      <c r="I184" s="139"/>
    </row>
    <row r="185" spans="2:9">
      <c r="B185" s="107"/>
      <c r="C185" s="107"/>
      <c r="D185" s="107"/>
      <c r="E185" s="107"/>
      <c r="F185" s="139"/>
      <c r="G185" s="139"/>
      <c r="H185" s="139"/>
      <c r="I185" s="139"/>
    </row>
    <row r="186" spans="2:9">
      <c r="B186" s="107"/>
      <c r="C186" s="107"/>
      <c r="D186" s="107"/>
      <c r="E186" s="107"/>
      <c r="F186" s="139"/>
      <c r="G186" s="139"/>
      <c r="H186" s="139"/>
      <c r="I186" s="139"/>
    </row>
    <row r="187" spans="2:9">
      <c r="B187" s="107"/>
      <c r="C187" s="107"/>
      <c r="D187" s="107"/>
      <c r="E187" s="107"/>
      <c r="F187" s="139"/>
      <c r="G187" s="139"/>
      <c r="H187" s="139"/>
      <c r="I187" s="139"/>
    </row>
    <row r="188" spans="2:9">
      <c r="B188" s="107"/>
      <c r="C188" s="107"/>
      <c r="D188" s="107"/>
      <c r="E188" s="107"/>
      <c r="F188" s="139"/>
      <c r="G188" s="139"/>
      <c r="H188" s="139"/>
      <c r="I188" s="139"/>
    </row>
    <row r="189" spans="2:9">
      <c r="B189" s="107"/>
      <c r="C189" s="107"/>
      <c r="D189" s="107"/>
      <c r="E189" s="107"/>
      <c r="F189" s="139"/>
      <c r="G189" s="139"/>
      <c r="H189" s="139"/>
      <c r="I189" s="139"/>
    </row>
    <row r="190" spans="2:9">
      <c r="B190" s="107"/>
      <c r="C190" s="107"/>
      <c r="D190" s="107"/>
      <c r="E190" s="107"/>
      <c r="F190" s="139"/>
      <c r="G190" s="139"/>
      <c r="H190" s="139"/>
      <c r="I190" s="139"/>
    </row>
    <row r="191" spans="2:9">
      <c r="B191" s="107"/>
      <c r="C191" s="107"/>
      <c r="D191" s="107"/>
      <c r="E191" s="107"/>
      <c r="F191" s="139"/>
      <c r="G191" s="139"/>
      <c r="H191" s="139"/>
      <c r="I191" s="139"/>
    </row>
    <row r="192" spans="2:9">
      <c r="B192" s="107"/>
      <c r="C192" s="107"/>
      <c r="D192" s="107"/>
      <c r="E192" s="107"/>
      <c r="F192" s="139"/>
      <c r="G192" s="139"/>
      <c r="H192" s="139"/>
      <c r="I192" s="139"/>
    </row>
    <row r="193" spans="2:9">
      <c r="B193" s="107"/>
      <c r="C193" s="107"/>
      <c r="D193" s="107"/>
      <c r="E193" s="107"/>
      <c r="F193" s="139"/>
      <c r="G193" s="139"/>
      <c r="H193" s="139"/>
      <c r="I193" s="139"/>
    </row>
    <row r="194" spans="2:9">
      <c r="B194" s="107"/>
      <c r="C194" s="107"/>
      <c r="D194" s="107"/>
      <c r="E194" s="107"/>
      <c r="F194" s="139"/>
      <c r="G194" s="139"/>
      <c r="H194" s="139"/>
      <c r="I194" s="139"/>
    </row>
    <row r="195" spans="2:9">
      <c r="B195" s="107"/>
      <c r="C195" s="107"/>
      <c r="D195" s="107"/>
      <c r="E195" s="107"/>
      <c r="F195" s="139"/>
      <c r="G195" s="139"/>
      <c r="H195" s="139"/>
      <c r="I195" s="139"/>
    </row>
    <row r="196" spans="2:9">
      <c r="B196" s="107"/>
      <c r="C196" s="107"/>
      <c r="D196" s="107"/>
      <c r="E196" s="107"/>
      <c r="F196" s="139"/>
      <c r="G196" s="139"/>
      <c r="H196" s="139"/>
      <c r="I196" s="139"/>
    </row>
    <row r="197" spans="2:9">
      <c r="B197" s="107"/>
      <c r="C197" s="107"/>
      <c r="D197" s="107"/>
      <c r="E197" s="107"/>
      <c r="F197" s="139"/>
      <c r="G197" s="139"/>
      <c r="H197" s="139"/>
      <c r="I197" s="139"/>
    </row>
    <row r="198" spans="2:9">
      <c r="B198" s="107"/>
      <c r="C198" s="107"/>
      <c r="D198" s="107"/>
      <c r="E198" s="107"/>
      <c r="F198" s="139"/>
      <c r="G198" s="139"/>
      <c r="H198" s="139"/>
      <c r="I198" s="139"/>
    </row>
    <row r="199" spans="2:9">
      <c r="B199" s="107"/>
      <c r="C199" s="107"/>
      <c r="D199" s="107"/>
      <c r="E199" s="107"/>
      <c r="F199" s="139"/>
      <c r="G199" s="139"/>
      <c r="H199" s="139"/>
      <c r="I199" s="139"/>
    </row>
    <row r="200" spans="2:9">
      <c r="B200" s="107"/>
      <c r="C200" s="107"/>
      <c r="D200" s="107"/>
      <c r="E200" s="107"/>
      <c r="F200" s="139"/>
      <c r="G200" s="139"/>
      <c r="H200" s="139"/>
      <c r="I200" s="139"/>
    </row>
    <row r="201" spans="2:9">
      <c r="B201" s="107"/>
      <c r="C201" s="107"/>
      <c r="D201" s="107"/>
      <c r="E201" s="107"/>
      <c r="F201" s="139"/>
      <c r="G201" s="139"/>
      <c r="H201" s="139"/>
      <c r="I201" s="139"/>
    </row>
    <row r="202" spans="2:9">
      <c r="B202" s="107"/>
      <c r="C202" s="107"/>
      <c r="D202" s="107"/>
      <c r="E202" s="107"/>
      <c r="F202" s="139"/>
      <c r="G202" s="139"/>
      <c r="H202" s="139"/>
      <c r="I202" s="139"/>
    </row>
    <row r="203" spans="2:9">
      <c r="B203" s="107"/>
      <c r="C203" s="107"/>
      <c r="D203" s="107"/>
      <c r="E203" s="107"/>
      <c r="F203" s="139"/>
      <c r="G203" s="139"/>
      <c r="H203" s="139"/>
      <c r="I203" s="139"/>
    </row>
    <row r="204" spans="2:9">
      <c r="B204" s="107"/>
      <c r="C204" s="107"/>
      <c r="D204" s="107"/>
      <c r="E204" s="107"/>
      <c r="F204" s="139"/>
      <c r="G204" s="139"/>
      <c r="H204" s="139"/>
      <c r="I204" s="139"/>
    </row>
    <row r="205" spans="2:9">
      <c r="B205" s="107"/>
      <c r="C205" s="107"/>
      <c r="D205" s="107"/>
      <c r="E205" s="107"/>
      <c r="F205" s="139"/>
      <c r="G205" s="139"/>
      <c r="H205" s="139"/>
      <c r="I205" s="139"/>
    </row>
    <row r="206" spans="2:9">
      <c r="B206" s="107"/>
      <c r="C206" s="107"/>
      <c r="D206" s="107"/>
      <c r="E206" s="107"/>
      <c r="F206" s="139"/>
      <c r="G206" s="139"/>
      <c r="H206" s="139"/>
      <c r="I206" s="139"/>
    </row>
    <row r="207" spans="2:9">
      <c r="B207" s="107"/>
      <c r="C207" s="107"/>
      <c r="D207" s="107"/>
      <c r="E207" s="107"/>
      <c r="F207" s="139"/>
      <c r="G207" s="139"/>
      <c r="H207" s="139"/>
      <c r="I207" s="139"/>
    </row>
    <row r="208" spans="2:9">
      <c r="B208" s="107"/>
      <c r="C208" s="107"/>
      <c r="D208" s="107"/>
      <c r="E208" s="107"/>
      <c r="F208" s="139"/>
      <c r="G208" s="139"/>
      <c r="H208" s="139"/>
      <c r="I208" s="139"/>
    </row>
    <row r="209" spans="2:9">
      <c r="B209" s="107"/>
      <c r="C209" s="107"/>
      <c r="D209" s="107"/>
      <c r="E209" s="107"/>
      <c r="F209" s="139"/>
      <c r="G209" s="139"/>
      <c r="H209" s="139"/>
      <c r="I209" s="139"/>
    </row>
    <row r="210" spans="2:9">
      <c r="B210" s="107"/>
      <c r="C210" s="107"/>
      <c r="D210" s="107"/>
      <c r="E210" s="107"/>
      <c r="F210" s="139"/>
      <c r="G210" s="139"/>
      <c r="H210" s="139"/>
      <c r="I210" s="139"/>
    </row>
    <row r="211" spans="2:9">
      <c r="B211" s="107"/>
      <c r="C211" s="107"/>
      <c r="D211" s="107"/>
      <c r="E211" s="107"/>
      <c r="F211" s="139"/>
      <c r="G211" s="139"/>
      <c r="H211" s="139"/>
      <c r="I211" s="139"/>
    </row>
    <row r="212" spans="2:9">
      <c r="B212" s="107"/>
      <c r="C212" s="107"/>
      <c r="D212" s="107"/>
      <c r="E212" s="107"/>
      <c r="F212" s="139"/>
      <c r="G212" s="139"/>
      <c r="H212" s="139"/>
      <c r="I212" s="139"/>
    </row>
    <row r="213" spans="2:9">
      <c r="B213" s="107"/>
      <c r="C213" s="107"/>
      <c r="D213" s="107"/>
      <c r="E213" s="107"/>
      <c r="F213" s="139"/>
      <c r="G213" s="139"/>
      <c r="H213" s="139"/>
      <c r="I213" s="139"/>
    </row>
    <row r="214" spans="2:9">
      <c r="B214" s="107"/>
      <c r="C214" s="107"/>
      <c r="D214" s="107"/>
      <c r="E214" s="107"/>
      <c r="F214" s="139"/>
      <c r="G214" s="139"/>
      <c r="H214" s="139"/>
      <c r="I214" s="139"/>
    </row>
    <row r="215" spans="2:9">
      <c r="B215" s="107"/>
      <c r="C215" s="107"/>
      <c r="D215" s="107"/>
      <c r="E215" s="107"/>
      <c r="F215" s="139"/>
      <c r="G215" s="139"/>
      <c r="H215" s="139"/>
      <c r="I215" s="139"/>
    </row>
    <row r="216" spans="2:9">
      <c r="B216" s="107"/>
      <c r="C216" s="107"/>
      <c r="D216" s="107"/>
      <c r="E216" s="107"/>
      <c r="F216" s="139"/>
      <c r="G216" s="139"/>
      <c r="H216" s="139"/>
      <c r="I216" s="139"/>
    </row>
    <row r="217" spans="2:9">
      <c r="B217" s="107"/>
      <c r="C217" s="107"/>
      <c r="D217" s="107"/>
      <c r="E217" s="107"/>
      <c r="F217" s="139"/>
      <c r="G217" s="139"/>
      <c r="H217" s="139"/>
      <c r="I217" s="139"/>
    </row>
    <row r="218" spans="2:9">
      <c r="B218" s="107"/>
      <c r="C218" s="107"/>
      <c r="D218" s="107"/>
      <c r="E218" s="107"/>
      <c r="F218" s="139"/>
      <c r="G218" s="139"/>
      <c r="H218" s="139"/>
      <c r="I218" s="139"/>
    </row>
    <row r="219" spans="2:9">
      <c r="B219" s="107"/>
      <c r="C219" s="107"/>
      <c r="D219" s="107"/>
      <c r="E219" s="107"/>
      <c r="F219" s="139"/>
      <c r="G219" s="139"/>
      <c r="H219" s="139"/>
      <c r="I219" s="139"/>
    </row>
    <row r="220" spans="2:9">
      <c r="B220" s="107"/>
      <c r="C220" s="107"/>
      <c r="D220" s="107"/>
      <c r="E220" s="107"/>
      <c r="F220" s="139"/>
      <c r="G220" s="139"/>
      <c r="H220" s="139"/>
      <c r="I220" s="139"/>
    </row>
    <row r="221" spans="2:9">
      <c r="B221" s="107"/>
      <c r="C221" s="107"/>
      <c r="D221" s="107"/>
      <c r="E221" s="107"/>
      <c r="F221" s="139"/>
      <c r="G221" s="139"/>
      <c r="H221" s="139"/>
      <c r="I221" s="139"/>
    </row>
    <row r="222" spans="2:9">
      <c r="B222" s="107"/>
      <c r="C222" s="107"/>
      <c r="D222" s="107"/>
      <c r="E222" s="107"/>
      <c r="F222" s="139"/>
      <c r="G222" s="139"/>
      <c r="H222" s="139"/>
      <c r="I222" s="139"/>
    </row>
    <row r="223" spans="2:9">
      <c r="B223" s="107"/>
      <c r="C223" s="107"/>
      <c r="D223" s="107"/>
      <c r="E223" s="107"/>
      <c r="F223" s="139"/>
      <c r="G223" s="139"/>
      <c r="H223" s="139"/>
      <c r="I223" s="139"/>
    </row>
    <row r="224" spans="2:9">
      <c r="B224" s="107"/>
      <c r="C224" s="107"/>
      <c r="D224" s="107"/>
      <c r="E224" s="107"/>
      <c r="F224" s="139"/>
      <c r="G224" s="139"/>
      <c r="H224" s="139"/>
      <c r="I224" s="139"/>
    </row>
    <row r="225" spans="2:9">
      <c r="B225" s="107"/>
      <c r="C225" s="107"/>
      <c r="D225" s="107"/>
      <c r="E225" s="107"/>
      <c r="F225" s="139"/>
      <c r="G225" s="139"/>
      <c r="H225" s="139"/>
      <c r="I225" s="139"/>
    </row>
    <row r="226" spans="2:9">
      <c r="B226" s="107"/>
      <c r="C226" s="107"/>
      <c r="D226" s="107"/>
      <c r="E226" s="107"/>
      <c r="F226" s="139"/>
      <c r="G226" s="139"/>
      <c r="H226" s="139"/>
      <c r="I226" s="139"/>
    </row>
    <row r="227" spans="2:9">
      <c r="B227" s="107"/>
      <c r="C227" s="107"/>
      <c r="D227" s="107"/>
      <c r="E227" s="107"/>
      <c r="F227" s="139"/>
      <c r="G227" s="139"/>
      <c r="H227" s="139"/>
      <c r="I227" s="139"/>
    </row>
    <row r="228" spans="2:9">
      <c r="B228" s="107"/>
      <c r="C228" s="107"/>
      <c r="D228" s="107"/>
      <c r="E228" s="107"/>
      <c r="F228" s="139"/>
      <c r="G228" s="139"/>
      <c r="H228" s="139"/>
      <c r="I228" s="139"/>
    </row>
    <row r="229" spans="2:9">
      <c r="B229" s="107"/>
      <c r="C229" s="107"/>
      <c r="D229" s="107"/>
      <c r="E229" s="107"/>
      <c r="F229" s="139"/>
      <c r="G229" s="139"/>
      <c r="H229" s="139"/>
      <c r="I229" s="139"/>
    </row>
    <row r="230" spans="2:9">
      <c r="B230" s="107"/>
      <c r="C230" s="107"/>
      <c r="D230" s="107"/>
      <c r="E230" s="107"/>
      <c r="F230" s="139"/>
      <c r="G230" s="139"/>
      <c r="H230" s="139"/>
      <c r="I230" s="139"/>
    </row>
    <row r="231" spans="2:9">
      <c r="B231" s="107"/>
      <c r="C231" s="107"/>
      <c r="D231" s="107"/>
      <c r="E231" s="107"/>
      <c r="F231" s="139"/>
      <c r="G231" s="139"/>
      <c r="H231" s="139"/>
      <c r="I231" s="139"/>
    </row>
    <row r="232" spans="2:9">
      <c r="B232" s="107"/>
      <c r="C232" s="107"/>
      <c r="D232" s="107"/>
      <c r="E232" s="107"/>
      <c r="F232" s="139"/>
      <c r="G232" s="139"/>
      <c r="H232" s="139"/>
      <c r="I232" s="139"/>
    </row>
    <row r="233" spans="2:9">
      <c r="B233" s="107"/>
      <c r="C233" s="107"/>
      <c r="D233" s="107"/>
      <c r="E233" s="107"/>
      <c r="F233" s="139"/>
      <c r="G233" s="139"/>
      <c r="H233" s="139"/>
      <c r="I233" s="139"/>
    </row>
    <row r="234" spans="2:9">
      <c r="B234" s="107"/>
      <c r="C234" s="107"/>
      <c r="D234" s="107"/>
      <c r="E234" s="107"/>
      <c r="F234" s="139"/>
      <c r="G234" s="139"/>
      <c r="H234" s="139"/>
      <c r="I234" s="139"/>
    </row>
    <row r="235" spans="2:9">
      <c r="B235" s="107"/>
      <c r="C235" s="107"/>
      <c r="D235" s="107"/>
      <c r="E235" s="107"/>
      <c r="F235" s="139"/>
      <c r="G235" s="139"/>
      <c r="H235" s="139"/>
      <c r="I235" s="139"/>
    </row>
    <row r="236" spans="2:9">
      <c r="B236" s="107"/>
      <c r="C236" s="107"/>
      <c r="D236" s="107"/>
      <c r="E236" s="107"/>
      <c r="F236" s="139"/>
      <c r="G236" s="139"/>
      <c r="H236" s="139"/>
      <c r="I236" s="139"/>
    </row>
    <row r="237" spans="2:9">
      <c r="B237" s="107"/>
      <c r="C237" s="107"/>
      <c r="D237" s="107"/>
      <c r="E237" s="107"/>
      <c r="F237" s="139"/>
      <c r="G237" s="139"/>
      <c r="H237" s="139"/>
      <c r="I237" s="139"/>
    </row>
    <row r="238" spans="2:9">
      <c r="B238" s="107"/>
      <c r="C238" s="107"/>
      <c r="D238" s="107"/>
      <c r="E238" s="107"/>
      <c r="F238" s="139"/>
      <c r="G238" s="139"/>
      <c r="H238" s="139"/>
      <c r="I238" s="139"/>
    </row>
    <row r="239" spans="2:9">
      <c r="B239" s="107"/>
      <c r="C239" s="107"/>
      <c r="D239" s="107"/>
      <c r="E239" s="107"/>
      <c r="F239" s="139"/>
      <c r="G239" s="139"/>
      <c r="H239" s="139"/>
      <c r="I239" s="139"/>
    </row>
    <row r="240" spans="2:9">
      <c r="B240" s="107"/>
      <c r="C240" s="107"/>
      <c r="D240" s="107"/>
      <c r="E240" s="107"/>
      <c r="F240" s="139"/>
      <c r="G240" s="139"/>
      <c r="H240" s="139"/>
      <c r="I240" s="139"/>
    </row>
    <row r="241" spans="2:9">
      <c r="B241" s="107"/>
      <c r="C241" s="107"/>
      <c r="D241" s="107"/>
      <c r="E241" s="107"/>
      <c r="F241" s="139"/>
      <c r="G241" s="139"/>
      <c r="H241" s="139"/>
      <c r="I241" s="139"/>
    </row>
    <row r="242" spans="2:9">
      <c r="B242" s="107"/>
      <c r="C242" s="107"/>
      <c r="D242" s="107"/>
      <c r="E242" s="107"/>
      <c r="F242" s="139"/>
      <c r="G242" s="139"/>
      <c r="H242" s="139"/>
      <c r="I242" s="139"/>
    </row>
    <row r="243" spans="2:9">
      <c r="B243" s="107"/>
      <c r="C243" s="107"/>
      <c r="D243" s="107"/>
      <c r="E243" s="107"/>
      <c r="F243" s="139"/>
      <c r="G243" s="139"/>
      <c r="H243" s="139"/>
      <c r="I243" s="139"/>
    </row>
    <row r="244" spans="2:9">
      <c r="B244" s="107"/>
      <c r="C244" s="107"/>
      <c r="D244" s="107"/>
      <c r="E244" s="107"/>
      <c r="F244" s="139"/>
      <c r="G244" s="139"/>
      <c r="H244" s="139"/>
      <c r="I244" s="139"/>
    </row>
    <row r="245" spans="2:9">
      <c r="B245" s="107"/>
      <c r="C245" s="107"/>
      <c r="D245" s="107"/>
      <c r="E245" s="107"/>
      <c r="F245" s="139"/>
      <c r="G245" s="139"/>
      <c r="H245" s="139"/>
      <c r="I245" s="139"/>
    </row>
  </sheetData>
  <mergeCells count="5">
    <mergeCell ref="G4:G6"/>
    <mergeCell ref="F4:F6"/>
    <mergeCell ref="H4:H6"/>
    <mergeCell ref="B12:E12"/>
    <mergeCell ref="I4:I6"/>
  </mergeCells>
  <printOptions horizontalCentered="1"/>
  <pageMargins left="0.78740157480314965" right="0.78740157480314965" top="0.78740157480314965" bottom="0.78740157480314965" header="0.39370078740157483" footer="0.39370078740157483"/>
  <pageSetup paperSize="9" scale="94" firstPageNumber="55" orientation="portrait" useFirstPageNumber="1" r:id="rId1"/>
  <headerFooter>
    <oddHeader>&amp;C&amp;"+,Tučné"II. Rozpis rozpočtu</oddHeader>
    <oddFooter>&amp;C&amp;"-,Obyčejné" &amp;P</oddFooter>
  </headerFooter>
  <ignoredErrors>
    <ignoredError sqref="B7:D8" numberStoredAsText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M255"/>
  <sheetViews>
    <sheetView zoomScaleNormal="100" workbookViewId="0">
      <selection activeCell="M23" sqref="M23"/>
    </sheetView>
  </sheetViews>
  <sheetFormatPr defaultRowHeight="15"/>
  <cols>
    <col min="1" max="1" width="4" style="203" customWidth="1"/>
    <col min="2" max="4" width="5.7109375" style="12" customWidth="1"/>
    <col min="5" max="5" width="36.7109375" style="12" customWidth="1"/>
    <col min="6" max="6" width="9.85546875" style="122" customWidth="1"/>
    <col min="7" max="7" width="9.85546875" style="122" hidden="1" customWidth="1"/>
    <col min="8" max="9" width="9.85546875" style="122" customWidth="1"/>
    <col min="10" max="16384" width="9.140625" style="12"/>
  </cols>
  <sheetData>
    <row r="1" spans="1:13" ht="15.75" customHeight="1">
      <c r="A1" s="4"/>
      <c r="B1" s="3"/>
      <c r="C1" s="3"/>
      <c r="D1" s="3"/>
      <c r="E1" s="3"/>
      <c r="F1" s="2"/>
      <c r="G1" s="2"/>
      <c r="H1" s="2"/>
      <c r="I1" s="2"/>
    </row>
    <row r="2" spans="1:13" ht="15.75" customHeight="1">
      <c r="A2" s="4"/>
      <c r="B2" s="3"/>
      <c r="C2" s="3"/>
      <c r="D2" s="3"/>
      <c r="E2" s="3"/>
      <c r="F2" s="2"/>
      <c r="G2" s="2"/>
      <c r="H2" s="2"/>
      <c r="I2" s="2"/>
    </row>
    <row r="3" spans="1:13" ht="15.75" customHeight="1" thickBot="1">
      <c r="A3" s="4"/>
      <c r="B3" s="3"/>
      <c r="C3" s="3"/>
      <c r="D3" s="3"/>
      <c r="E3" s="3"/>
      <c r="F3" s="2"/>
      <c r="G3" s="2"/>
      <c r="H3" s="2"/>
      <c r="I3" s="2"/>
    </row>
    <row r="4" spans="1:13" ht="15.75" customHeight="1" thickTop="1">
      <c r="A4" s="4"/>
      <c r="B4" s="41"/>
      <c r="C4" s="40"/>
      <c r="D4" s="39"/>
      <c r="E4" s="38"/>
      <c r="F4" s="1962" t="s">
        <v>44</v>
      </c>
      <c r="G4" s="1962" t="s">
        <v>43</v>
      </c>
      <c r="H4" s="1962" t="s">
        <v>1487</v>
      </c>
      <c r="I4" s="1971" t="s">
        <v>1488</v>
      </c>
    </row>
    <row r="5" spans="1:13" ht="15.75" customHeight="1">
      <c r="A5" s="4" t="s">
        <v>120</v>
      </c>
      <c r="B5" s="36" t="s">
        <v>42</v>
      </c>
      <c r="C5" s="35" t="s">
        <v>41</v>
      </c>
      <c r="D5" s="34" t="s">
        <v>40</v>
      </c>
      <c r="E5" s="33"/>
      <c r="F5" s="1963"/>
      <c r="G5" s="1963"/>
      <c r="H5" s="1963"/>
      <c r="I5" s="1972"/>
    </row>
    <row r="6" spans="1:13" ht="15.75" customHeight="1" thickBot="1">
      <c r="A6" s="4"/>
      <c r="B6" s="31"/>
      <c r="C6" s="30"/>
      <c r="D6" s="29"/>
      <c r="E6" s="28" t="s">
        <v>38</v>
      </c>
      <c r="F6" s="1964"/>
      <c r="G6" s="1964"/>
      <c r="H6" s="1964"/>
      <c r="I6" s="1973"/>
      <c r="J6" s="1"/>
      <c r="K6" s="1"/>
      <c r="L6" s="1"/>
      <c r="M6" s="1"/>
    </row>
    <row r="7" spans="1:13" ht="15.75" customHeight="1" thickTop="1" thickBot="1">
      <c r="A7" s="4"/>
      <c r="B7" s="87">
        <v>3699</v>
      </c>
      <c r="C7" s="86">
        <v>5361</v>
      </c>
      <c r="D7" s="85" t="s">
        <v>800</v>
      </c>
      <c r="E7" s="84" t="s">
        <v>725</v>
      </c>
      <c r="F7" s="518">
        <v>10</v>
      </c>
      <c r="G7" s="518">
        <v>10</v>
      </c>
      <c r="H7" s="518">
        <v>10</v>
      </c>
      <c r="I7" s="1327">
        <v>10</v>
      </c>
    </row>
    <row r="8" spans="1:13" ht="15.75" customHeight="1" thickBot="1">
      <c r="A8" s="4"/>
      <c r="B8" s="80" t="s">
        <v>238</v>
      </c>
      <c r="C8" s="60" t="s">
        <v>554</v>
      </c>
      <c r="D8" s="61" t="s">
        <v>800</v>
      </c>
      <c r="E8" s="59" t="s">
        <v>801</v>
      </c>
      <c r="F8" s="56">
        <v>4303</v>
      </c>
      <c r="G8" s="56">
        <v>4303</v>
      </c>
      <c r="H8" s="56">
        <v>3000</v>
      </c>
      <c r="I8" s="1486">
        <f>3000+5053</f>
        <v>8053</v>
      </c>
      <c r="J8" s="971"/>
    </row>
    <row r="9" spans="1:13" ht="15.75" customHeight="1" thickBot="1">
      <c r="A9" s="4"/>
      <c r="B9" s="80">
        <v>3699</v>
      </c>
      <c r="C9" s="60">
        <v>5166</v>
      </c>
      <c r="D9" s="61">
        <v>2863</v>
      </c>
      <c r="E9" s="59" t="s">
        <v>802</v>
      </c>
      <c r="F9" s="56">
        <v>2860</v>
      </c>
      <c r="G9" s="56">
        <f>2860-1</f>
        <v>2859</v>
      </c>
      <c r="H9" s="56">
        <v>4350</v>
      </c>
      <c r="I9" s="1486">
        <v>4350</v>
      </c>
    </row>
    <row r="10" spans="1:13" ht="15.75" customHeight="1" thickBot="1">
      <c r="A10" s="4"/>
      <c r="B10" s="80">
        <v>3699</v>
      </c>
      <c r="C10" s="60">
        <v>5169</v>
      </c>
      <c r="D10" s="61">
        <v>2863</v>
      </c>
      <c r="E10" s="73" t="s">
        <v>55</v>
      </c>
      <c r="F10" s="561">
        <v>0</v>
      </c>
      <c r="G10" s="561">
        <v>1</v>
      </c>
      <c r="H10" s="561">
        <v>20</v>
      </c>
      <c r="I10" s="1487">
        <v>20</v>
      </c>
    </row>
    <row r="11" spans="1:13" ht="15.75" customHeight="1" thickBot="1">
      <c r="A11" s="4"/>
      <c r="B11" s="76">
        <v>3699</v>
      </c>
      <c r="C11" s="75">
        <v>5191</v>
      </c>
      <c r="D11" s="74" t="s">
        <v>800</v>
      </c>
      <c r="E11" s="73" t="s">
        <v>803</v>
      </c>
      <c r="F11" s="561">
        <v>0</v>
      </c>
      <c r="G11" s="561">
        <v>1400</v>
      </c>
      <c r="H11" s="561">
        <v>0</v>
      </c>
      <c r="I11" s="1487">
        <v>1400</v>
      </c>
      <c r="J11" s="971"/>
    </row>
    <row r="12" spans="1:13" ht="15.75" customHeight="1" thickBot="1">
      <c r="A12" s="4"/>
      <c r="B12" s="76">
        <v>3699</v>
      </c>
      <c r="C12" s="75">
        <v>5192</v>
      </c>
      <c r="D12" s="74" t="s">
        <v>800</v>
      </c>
      <c r="E12" s="73" t="s">
        <v>804</v>
      </c>
      <c r="F12" s="561">
        <v>0</v>
      </c>
      <c r="G12" s="561">
        <v>420</v>
      </c>
      <c r="H12" s="561">
        <v>0</v>
      </c>
      <c r="I12" s="1487">
        <v>420</v>
      </c>
      <c r="J12" s="971"/>
    </row>
    <row r="13" spans="1:13" ht="15.75" customHeight="1" thickBot="1">
      <c r="A13" s="4"/>
      <c r="B13" s="76">
        <v>3699</v>
      </c>
      <c r="C13" s="75">
        <v>5902</v>
      </c>
      <c r="D13" s="74" t="s">
        <v>800</v>
      </c>
      <c r="E13" s="73" t="s">
        <v>805</v>
      </c>
      <c r="F13" s="561">
        <v>0</v>
      </c>
      <c r="G13" s="561">
        <v>3680</v>
      </c>
      <c r="H13" s="561">
        <v>0</v>
      </c>
      <c r="I13" s="1487">
        <v>3680</v>
      </c>
      <c r="J13" s="971"/>
    </row>
    <row r="14" spans="1:13" ht="15.75" customHeight="1" thickBot="1">
      <c r="A14" s="4"/>
      <c r="B14" s="76">
        <v>3699</v>
      </c>
      <c r="C14" s="75">
        <v>5192</v>
      </c>
      <c r="D14" s="74" t="s">
        <v>800</v>
      </c>
      <c r="E14" s="73" t="s">
        <v>806</v>
      </c>
      <c r="F14" s="561">
        <v>0</v>
      </c>
      <c r="G14" s="561">
        <v>15000</v>
      </c>
      <c r="H14" s="561">
        <v>0</v>
      </c>
      <c r="I14" s="1487">
        <v>15000</v>
      </c>
      <c r="J14" s="971"/>
    </row>
    <row r="15" spans="1:13" ht="15.75" customHeight="1" thickBot="1">
      <c r="A15" s="4"/>
      <c r="B15" s="141" t="s">
        <v>238</v>
      </c>
      <c r="C15" s="142" t="s">
        <v>502</v>
      </c>
      <c r="D15" s="143" t="s">
        <v>800</v>
      </c>
      <c r="E15" s="144" t="s">
        <v>807</v>
      </c>
      <c r="F15" s="145">
        <v>6780</v>
      </c>
      <c r="G15" s="145">
        <v>6780</v>
      </c>
      <c r="H15" s="145">
        <v>8691</v>
      </c>
      <c r="I15" s="1328">
        <v>8691</v>
      </c>
    </row>
    <row r="16" spans="1:13" ht="15.75" hidden="1" customHeight="1" thickTop="1" thickBot="1">
      <c r="A16" s="4"/>
      <c r="B16" s="76">
        <v>3699</v>
      </c>
      <c r="C16" s="75">
        <v>5166</v>
      </c>
      <c r="D16" s="74" t="s">
        <v>808</v>
      </c>
      <c r="E16" s="73" t="s">
        <v>809</v>
      </c>
      <c r="F16" s="561">
        <v>0</v>
      </c>
      <c r="G16" s="561">
        <v>1000</v>
      </c>
      <c r="H16" s="561">
        <v>0</v>
      </c>
      <c r="I16" s="1487">
        <v>0</v>
      </c>
    </row>
    <row r="17" spans="1:9" ht="15.75" hidden="1" customHeight="1" thickBot="1">
      <c r="A17" s="4"/>
      <c r="B17" s="76">
        <v>3699</v>
      </c>
      <c r="C17" s="75">
        <v>5192</v>
      </c>
      <c r="D17" s="74" t="s">
        <v>808</v>
      </c>
      <c r="E17" s="73" t="s">
        <v>810</v>
      </c>
      <c r="F17" s="561">
        <v>0</v>
      </c>
      <c r="G17" s="561">
        <v>100</v>
      </c>
      <c r="H17" s="561">
        <v>0</v>
      </c>
      <c r="I17" s="1487">
        <v>0</v>
      </c>
    </row>
    <row r="18" spans="1:9" ht="15.75" hidden="1" customHeight="1" thickBot="1">
      <c r="A18" s="4"/>
      <c r="B18" s="141">
        <v>3699</v>
      </c>
      <c r="C18" s="142">
        <v>5362</v>
      </c>
      <c r="D18" s="143" t="s">
        <v>808</v>
      </c>
      <c r="E18" s="144" t="s">
        <v>811</v>
      </c>
      <c r="F18" s="145">
        <v>0</v>
      </c>
      <c r="G18" s="145">
        <v>250</v>
      </c>
      <c r="H18" s="145">
        <v>0</v>
      </c>
      <c r="I18" s="1328">
        <v>0</v>
      </c>
    </row>
    <row r="19" spans="1:9" s="286" customFormat="1" ht="6" customHeight="1" thickTop="1" thickBot="1">
      <c r="A19" s="23"/>
      <c r="B19" s="22"/>
      <c r="C19" s="22"/>
      <c r="D19" s="21"/>
      <c r="E19" s="20"/>
      <c r="F19" s="18"/>
      <c r="G19" s="18"/>
      <c r="H19" s="18"/>
      <c r="I19" s="18"/>
    </row>
    <row r="20" spans="1:9" ht="15.75" customHeight="1" thickTop="1" thickBot="1">
      <c r="A20" s="10">
        <v>501</v>
      </c>
      <c r="E20" s="15" t="s">
        <v>30</v>
      </c>
      <c r="F20" s="120">
        <f>SUM(F7:F18)</f>
        <v>13953</v>
      </c>
      <c r="G20" s="120">
        <f>SUM(G7:G18)</f>
        <v>35803</v>
      </c>
      <c r="H20" s="120">
        <f>SUM(H7:H18)</f>
        <v>16071</v>
      </c>
      <c r="I20" s="121">
        <f>SUM(I7:I18)</f>
        <v>41624</v>
      </c>
    </row>
    <row r="21" spans="1:9" ht="7.5" customHeight="1" thickTop="1" thickBot="1">
      <c r="A21" s="10"/>
    </row>
    <row r="22" spans="1:9" s="155" customFormat="1" ht="15.75" customHeight="1" thickTop="1" thickBot="1">
      <c r="A22" s="10"/>
      <c r="B22" s="9"/>
      <c r="C22" s="8"/>
      <c r="D22" s="8"/>
      <c r="E22" s="8" t="s">
        <v>812</v>
      </c>
      <c r="F22" s="124">
        <f>SUM(F20)</f>
        <v>13953</v>
      </c>
      <c r="G22" s="124">
        <f>SUM(G20)</f>
        <v>35803</v>
      </c>
      <c r="H22" s="124">
        <f>SUM(H20)</f>
        <v>16071</v>
      </c>
      <c r="I22" s="1423">
        <f>SUM(I20)</f>
        <v>41624</v>
      </c>
    </row>
    <row r="23" spans="1:9" ht="15.75" thickTop="1">
      <c r="B23" s="3"/>
      <c r="C23" s="3"/>
      <c r="D23" s="3"/>
      <c r="E23" s="3"/>
      <c r="F23" s="2"/>
      <c r="G23" s="2"/>
      <c r="H23" s="2"/>
      <c r="I23" s="2"/>
    </row>
    <row r="24" spans="1:9">
      <c r="B24" s="3"/>
      <c r="C24" s="3"/>
      <c r="D24" s="3"/>
      <c r="E24" s="3"/>
      <c r="F24" s="2"/>
      <c r="G24" s="2"/>
      <c r="H24" s="2"/>
      <c r="I24" s="2"/>
    </row>
    <row r="25" spans="1:9">
      <c r="B25" s="3"/>
      <c r="C25" s="3"/>
      <c r="D25" s="3"/>
      <c r="E25" s="3"/>
      <c r="F25" s="2"/>
      <c r="G25" s="2"/>
      <c r="H25" s="2"/>
      <c r="I25" s="2"/>
    </row>
    <row r="26" spans="1:9">
      <c r="B26" s="3"/>
      <c r="C26" s="3"/>
      <c r="D26" s="3"/>
      <c r="E26" s="3"/>
      <c r="F26" s="2"/>
      <c r="G26" s="2"/>
      <c r="H26" s="2"/>
      <c r="I26" s="2"/>
    </row>
    <row r="27" spans="1:9">
      <c r="B27" s="3"/>
      <c r="C27" s="3"/>
      <c r="D27" s="3"/>
      <c r="E27" s="3"/>
      <c r="F27" s="2"/>
      <c r="G27" s="2"/>
      <c r="H27" s="2"/>
      <c r="I27" s="2"/>
    </row>
    <row r="28" spans="1:9">
      <c r="B28" s="3"/>
      <c r="C28" s="3"/>
      <c r="D28" s="3"/>
      <c r="E28" s="3"/>
      <c r="F28" s="2"/>
      <c r="G28" s="2"/>
      <c r="H28" s="2"/>
      <c r="I28" s="2"/>
    </row>
    <row r="29" spans="1:9">
      <c r="B29" s="3"/>
      <c r="C29" s="3"/>
      <c r="D29" s="3"/>
      <c r="E29" s="3"/>
      <c r="F29" s="2"/>
      <c r="G29" s="2"/>
      <c r="H29" s="2"/>
      <c r="I29" s="2"/>
    </row>
    <row r="30" spans="1:9">
      <c r="B30" s="3"/>
      <c r="C30" s="3"/>
      <c r="D30" s="3"/>
      <c r="E30" s="3"/>
      <c r="F30" s="2"/>
      <c r="G30" s="2"/>
      <c r="H30" s="2"/>
      <c r="I30" s="2"/>
    </row>
    <row r="31" spans="1:9">
      <c r="B31" s="3"/>
      <c r="C31" s="3"/>
      <c r="D31" s="3"/>
      <c r="E31" s="3"/>
      <c r="F31" s="2"/>
      <c r="G31" s="2"/>
      <c r="H31" s="2"/>
      <c r="I31" s="2"/>
    </row>
    <row r="32" spans="1:9">
      <c r="B32" s="3"/>
      <c r="C32" s="3"/>
      <c r="D32" s="3"/>
      <c r="E32" s="3"/>
      <c r="F32" s="2"/>
      <c r="G32" s="2"/>
      <c r="H32" s="2"/>
      <c r="I32" s="2"/>
    </row>
    <row r="33" spans="2:9">
      <c r="B33" s="3"/>
      <c r="C33" s="3"/>
      <c r="D33" s="3"/>
      <c r="E33" s="3"/>
      <c r="F33" s="2"/>
      <c r="G33" s="2"/>
      <c r="H33" s="2"/>
      <c r="I33" s="2"/>
    </row>
    <row r="34" spans="2:9">
      <c r="B34" s="3"/>
      <c r="C34" s="3"/>
      <c r="D34" s="3"/>
      <c r="E34" s="3"/>
      <c r="F34" s="2"/>
      <c r="G34" s="2"/>
      <c r="H34" s="2"/>
      <c r="I34" s="2"/>
    </row>
    <row r="35" spans="2:9">
      <c r="B35" s="3"/>
      <c r="C35" s="3"/>
      <c r="D35" s="3"/>
      <c r="E35" s="3"/>
      <c r="F35" s="2"/>
      <c r="G35" s="2"/>
      <c r="H35" s="2"/>
      <c r="I35" s="2"/>
    </row>
    <row r="36" spans="2:9">
      <c r="B36" s="3"/>
      <c r="C36" s="3"/>
      <c r="D36" s="3"/>
      <c r="E36" s="3"/>
      <c r="F36" s="2"/>
      <c r="G36" s="2"/>
      <c r="H36" s="2"/>
      <c r="I36" s="2"/>
    </row>
    <row r="37" spans="2:9">
      <c r="B37" s="3"/>
      <c r="C37" s="3"/>
      <c r="D37" s="3"/>
      <c r="E37" s="3"/>
      <c r="F37" s="2"/>
      <c r="G37" s="2"/>
      <c r="H37" s="2"/>
      <c r="I37" s="2"/>
    </row>
    <row r="38" spans="2:9">
      <c r="B38" s="3"/>
      <c r="C38" s="3"/>
      <c r="D38" s="3"/>
      <c r="E38" s="3"/>
      <c r="F38" s="2"/>
      <c r="G38" s="2"/>
      <c r="H38" s="2"/>
      <c r="I38" s="2"/>
    </row>
    <row r="39" spans="2:9">
      <c r="B39" s="3"/>
      <c r="C39" s="3"/>
      <c r="D39" s="3"/>
      <c r="E39" s="3"/>
      <c r="F39" s="2"/>
      <c r="G39" s="2"/>
      <c r="H39" s="2"/>
      <c r="I39" s="2"/>
    </row>
    <row r="40" spans="2:9">
      <c r="B40" s="3"/>
      <c r="C40" s="3"/>
      <c r="D40" s="3"/>
      <c r="E40" s="3"/>
      <c r="F40" s="2"/>
      <c r="G40" s="2"/>
      <c r="H40" s="2"/>
      <c r="I40" s="2"/>
    </row>
    <row r="41" spans="2:9">
      <c r="B41" s="3"/>
      <c r="C41" s="3"/>
      <c r="D41" s="3"/>
      <c r="E41" s="3"/>
      <c r="F41" s="2"/>
      <c r="G41" s="2"/>
      <c r="H41" s="2"/>
      <c r="I41" s="2"/>
    </row>
    <row r="42" spans="2:9">
      <c r="B42" s="3"/>
      <c r="C42" s="3"/>
      <c r="D42" s="3"/>
      <c r="E42" s="3"/>
      <c r="F42" s="2"/>
      <c r="G42" s="2"/>
      <c r="H42" s="2"/>
      <c r="I42" s="2"/>
    </row>
    <row r="43" spans="2:9">
      <c r="B43" s="3"/>
      <c r="C43" s="3"/>
      <c r="D43" s="3"/>
      <c r="E43" s="3"/>
      <c r="F43" s="2"/>
      <c r="G43" s="2"/>
      <c r="H43" s="2"/>
      <c r="I43" s="2"/>
    </row>
    <row r="44" spans="2:9">
      <c r="B44" s="3"/>
      <c r="C44" s="3"/>
      <c r="D44" s="3"/>
      <c r="E44" s="3"/>
      <c r="F44" s="2"/>
      <c r="G44" s="2"/>
      <c r="H44" s="2"/>
      <c r="I44" s="2"/>
    </row>
    <row r="45" spans="2:9">
      <c r="B45" s="3"/>
      <c r="C45" s="3"/>
      <c r="D45" s="3"/>
      <c r="E45" s="3"/>
      <c r="F45" s="2"/>
      <c r="G45" s="2"/>
      <c r="H45" s="2"/>
      <c r="I45" s="2"/>
    </row>
    <row r="46" spans="2:9">
      <c r="B46" s="3"/>
      <c r="C46" s="3"/>
      <c r="D46" s="3"/>
      <c r="E46" s="3"/>
      <c r="F46" s="2"/>
      <c r="G46" s="2"/>
      <c r="H46" s="2"/>
      <c r="I46" s="2"/>
    </row>
    <row r="47" spans="2:9">
      <c r="B47" s="3"/>
      <c r="C47" s="3"/>
      <c r="D47" s="3"/>
      <c r="E47" s="3"/>
      <c r="F47" s="2"/>
      <c r="G47" s="2"/>
      <c r="H47" s="2"/>
      <c r="I47" s="2"/>
    </row>
    <row r="48" spans="2:9">
      <c r="B48" s="3"/>
      <c r="C48" s="3"/>
      <c r="D48" s="3"/>
      <c r="E48" s="3"/>
      <c r="F48" s="2"/>
      <c r="G48" s="2"/>
      <c r="H48" s="2"/>
      <c r="I48" s="2"/>
    </row>
    <row r="49" spans="2:9">
      <c r="B49" s="3"/>
      <c r="C49" s="3"/>
      <c r="D49" s="3"/>
      <c r="E49" s="3"/>
      <c r="F49" s="2"/>
      <c r="G49" s="2"/>
      <c r="H49" s="2"/>
      <c r="I49" s="2"/>
    </row>
    <row r="50" spans="2:9">
      <c r="B50" s="3"/>
      <c r="C50" s="3"/>
      <c r="D50" s="3"/>
      <c r="E50" s="3"/>
      <c r="F50" s="2"/>
      <c r="G50" s="2"/>
      <c r="H50" s="2"/>
      <c r="I50" s="2"/>
    </row>
    <row r="51" spans="2:9">
      <c r="B51" s="3"/>
      <c r="C51" s="3"/>
      <c r="D51" s="3"/>
      <c r="E51" s="3"/>
      <c r="F51" s="2"/>
      <c r="G51" s="2"/>
      <c r="H51" s="2"/>
      <c r="I51" s="2"/>
    </row>
    <row r="52" spans="2:9">
      <c r="B52" s="3"/>
      <c r="C52" s="3"/>
      <c r="D52" s="3"/>
      <c r="E52" s="3"/>
      <c r="F52" s="2"/>
      <c r="G52" s="2"/>
      <c r="H52" s="2"/>
      <c r="I52" s="2"/>
    </row>
    <row r="53" spans="2:9">
      <c r="B53" s="3"/>
      <c r="C53" s="3"/>
      <c r="D53" s="3"/>
      <c r="E53" s="3"/>
      <c r="F53" s="2"/>
      <c r="G53" s="2"/>
      <c r="H53" s="2"/>
      <c r="I53" s="2"/>
    </row>
    <row r="54" spans="2:9">
      <c r="B54" s="3"/>
      <c r="C54" s="3"/>
      <c r="D54" s="3"/>
      <c r="E54" s="3"/>
      <c r="F54" s="2"/>
      <c r="G54" s="2"/>
      <c r="H54" s="2"/>
      <c r="I54" s="2"/>
    </row>
    <row r="55" spans="2:9">
      <c r="B55" s="3"/>
      <c r="C55" s="3"/>
      <c r="D55" s="3"/>
      <c r="E55" s="3"/>
      <c r="F55" s="2"/>
      <c r="G55" s="2"/>
      <c r="H55" s="2"/>
      <c r="I55" s="2"/>
    </row>
    <row r="56" spans="2:9">
      <c r="B56" s="3"/>
      <c r="C56" s="3"/>
      <c r="D56" s="3"/>
      <c r="E56" s="3"/>
      <c r="F56" s="2"/>
      <c r="G56" s="2"/>
      <c r="H56" s="2"/>
      <c r="I56" s="2"/>
    </row>
    <row r="57" spans="2:9">
      <c r="B57" s="3"/>
      <c r="C57" s="3"/>
      <c r="D57" s="3"/>
      <c r="E57" s="3"/>
      <c r="F57" s="2"/>
      <c r="G57" s="2"/>
      <c r="H57" s="2"/>
      <c r="I57" s="2"/>
    </row>
    <row r="58" spans="2:9">
      <c r="B58" s="3"/>
      <c r="C58" s="3"/>
      <c r="D58" s="3"/>
      <c r="E58" s="3"/>
      <c r="F58" s="2"/>
      <c r="G58" s="2"/>
      <c r="H58" s="2"/>
      <c r="I58" s="2"/>
    </row>
    <row r="59" spans="2:9">
      <c r="B59" s="3"/>
      <c r="C59" s="3"/>
      <c r="D59" s="3"/>
      <c r="E59" s="3"/>
      <c r="F59" s="2"/>
      <c r="G59" s="2"/>
      <c r="H59" s="2"/>
      <c r="I59" s="2"/>
    </row>
    <row r="60" spans="2:9">
      <c r="B60" s="3"/>
      <c r="C60" s="3"/>
      <c r="D60" s="3"/>
      <c r="E60" s="3"/>
      <c r="F60" s="2"/>
      <c r="G60" s="2"/>
      <c r="H60" s="2"/>
      <c r="I60" s="2"/>
    </row>
    <row r="61" spans="2:9">
      <c r="B61" s="3"/>
      <c r="C61" s="3"/>
      <c r="D61" s="3"/>
      <c r="E61" s="3"/>
      <c r="F61" s="2"/>
      <c r="G61" s="2"/>
      <c r="H61" s="2"/>
      <c r="I61" s="2"/>
    </row>
    <row r="62" spans="2:9">
      <c r="B62" s="3"/>
      <c r="C62" s="3"/>
      <c r="D62" s="3"/>
      <c r="E62" s="3"/>
      <c r="F62" s="2"/>
      <c r="G62" s="2"/>
      <c r="H62" s="2"/>
      <c r="I62" s="2"/>
    </row>
    <row r="63" spans="2:9">
      <c r="B63" s="3"/>
      <c r="C63" s="3"/>
      <c r="D63" s="3"/>
      <c r="E63" s="3"/>
      <c r="F63" s="2"/>
      <c r="G63" s="2"/>
      <c r="H63" s="2"/>
      <c r="I63" s="2"/>
    </row>
    <row r="64" spans="2:9">
      <c r="B64" s="3"/>
      <c r="C64" s="3"/>
      <c r="D64" s="3"/>
      <c r="E64" s="3"/>
      <c r="F64" s="2"/>
      <c r="G64" s="2"/>
      <c r="H64" s="2"/>
      <c r="I64" s="2"/>
    </row>
    <row r="65" spans="2:9">
      <c r="B65" s="3"/>
      <c r="C65" s="3"/>
      <c r="D65" s="3"/>
      <c r="E65" s="3"/>
      <c r="F65" s="2"/>
      <c r="G65" s="2"/>
      <c r="H65" s="2"/>
      <c r="I65" s="2"/>
    </row>
    <row r="66" spans="2:9">
      <c r="B66" s="3"/>
      <c r="C66" s="3"/>
      <c r="D66" s="3"/>
      <c r="E66" s="3"/>
      <c r="F66" s="2"/>
      <c r="G66" s="2"/>
      <c r="H66" s="2"/>
      <c r="I66" s="2"/>
    </row>
    <row r="67" spans="2:9">
      <c r="B67" s="3"/>
      <c r="C67" s="3"/>
      <c r="D67" s="3"/>
      <c r="E67" s="3"/>
      <c r="F67" s="2"/>
      <c r="G67" s="2"/>
      <c r="H67" s="2"/>
      <c r="I67" s="2"/>
    </row>
    <row r="68" spans="2:9">
      <c r="B68" s="3"/>
      <c r="C68" s="3"/>
      <c r="D68" s="3"/>
      <c r="E68" s="3"/>
      <c r="F68" s="2"/>
      <c r="G68" s="2"/>
      <c r="H68" s="2"/>
      <c r="I68" s="2"/>
    </row>
    <row r="69" spans="2:9">
      <c r="B69" s="3"/>
      <c r="C69" s="3"/>
      <c r="D69" s="3"/>
      <c r="E69" s="3"/>
      <c r="F69" s="2"/>
      <c r="G69" s="2"/>
      <c r="H69" s="2"/>
      <c r="I69" s="2"/>
    </row>
    <row r="70" spans="2:9">
      <c r="B70" s="3"/>
      <c r="C70" s="3"/>
      <c r="D70" s="3"/>
      <c r="E70" s="3"/>
      <c r="F70" s="2"/>
      <c r="G70" s="2"/>
      <c r="H70" s="2"/>
      <c r="I70" s="2"/>
    </row>
    <row r="71" spans="2:9">
      <c r="B71" s="3"/>
      <c r="C71" s="3"/>
      <c r="D71" s="3"/>
      <c r="E71" s="3"/>
      <c r="F71" s="2"/>
      <c r="G71" s="2"/>
      <c r="H71" s="2"/>
      <c r="I71" s="2"/>
    </row>
    <row r="72" spans="2:9">
      <c r="B72" s="3"/>
      <c r="C72" s="3"/>
      <c r="D72" s="3"/>
      <c r="E72" s="3"/>
      <c r="F72" s="2"/>
      <c r="G72" s="2"/>
      <c r="H72" s="2"/>
      <c r="I72" s="2"/>
    </row>
    <row r="73" spans="2:9">
      <c r="B73" s="3"/>
      <c r="C73" s="3"/>
      <c r="D73" s="3"/>
      <c r="E73" s="3"/>
      <c r="F73" s="2"/>
      <c r="G73" s="2"/>
      <c r="H73" s="2"/>
      <c r="I73" s="2"/>
    </row>
    <row r="74" spans="2:9">
      <c r="B74" s="3"/>
      <c r="C74" s="3"/>
      <c r="D74" s="3"/>
      <c r="E74" s="3"/>
      <c r="F74" s="2"/>
      <c r="G74" s="2"/>
      <c r="H74" s="2"/>
      <c r="I74" s="2"/>
    </row>
    <row r="75" spans="2:9">
      <c r="B75" s="3"/>
      <c r="C75" s="3"/>
      <c r="D75" s="3"/>
      <c r="E75" s="3"/>
      <c r="F75" s="2"/>
      <c r="G75" s="2"/>
      <c r="H75" s="2"/>
      <c r="I75" s="2"/>
    </row>
    <row r="76" spans="2:9">
      <c r="B76" s="3"/>
      <c r="C76" s="3"/>
      <c r="D76" s="3"/>
      <c r="E76" s="3"/>
      <c r="F76" s="2"/>
      <c r="G76" s="2"/>
      <c r="H76" s="2"/>
      <c r="I76" s="2"/>
    </row>
    <row r="77" spans="2:9">
      <c r="B77" s="3"/>
      <c r="C77" s="3"/>
      <c r="D77" s="3"/>
      <c r="E77" s="3"/>
      <c r="F77" s="2"/>
      <c r="G77" s="2"/>
      <c r="H77" s="2"/>
      <c r="I77" s="2"/>
    </row>
    <row r="78" spans="2:9">
      <c r="B78" s="3"/>
      <c r="C78" s="3"/>
      <c r="D78" s="3"/>
      <c r="E78" s="3"/>
      <c r="F78" s="2"/>
      <c r="G78" s="2"/>
      <c r="H78" s="2"/>
      <c r="I78" s="2"/>
    </row>
    <row r="79" spans="2:9">
      <c r="B79" s="3"/>
      <c r="C79" s="3"/>
      <c r="D79" s="3"/>
      <c r="E79" s="3"/>
      <c r="F79" s="2"/>
      <c r="G79" s="2"/>
      <c r="H79" s="2"/>
      <c r="I79" s="2"/>
    </row>
    <row r="80" spans="2:9">
      <c r="B80" s="3"/>
      <c r="C80" s="3"/>
      <c r="D80" s="3"/>
      <c r="E80" s="3"/>
      <c r="F80" s="2"/>
      <c r="G80" s="2"/>
      <c r="H80" s="2"/>
      <c r="I80" s="2"/>
    </row>
    <row r="81" spans="2:9">
      <c r="B81" s="3"/>
      <c r="C81" s="3"/>
      <c r="D81" s="3"/>
      <c r="E81" s="3"/>
      <c r="F81" s="2"/>
      <c r="G81" s="2"/>
      <c r="H81" s="2"/>
      <c r="I81" s="2"/>
    </row>
    <row r="82" spans="2:9">
      <c r="B82" s="3"/>
      <c r="C82" s="3"/>
      <c r="D82" s="3"/>
      <c r="E82" s="3"/>
      <c r="F82" s="2"/>
      <c r="G82" s="2"/>
      <c r="H82" s="2"/>
      <c r="I82" s="2"/>
    </row>
    <row r="83" spans="2:9">
      <c r="B83" s="3"/>
      <c r="C83" s="3"/>
      <c r="D83" s="3"/>
      <c r="E83" s="3"/>
      <c r="F83" s="2"/>
      <c r="G83" s="2"/>
      <c r="H83" s="2"/>
      <c r="I83" s="2"/>
    </row>
    <row r="84" spans="2:9">
      <c r="B84" s="3"/>
      <c r="C84" s="3"/>
      <c r="D84" s="3"/>
      <c r="E84" s="3"/>
      <c r="F84" s="2"/>
      <c r="G84" s="2"/>
      <c r="H84" s="2"/>
      <c r="I84" s="2"/>
    </row>
    <row r="85" spans="2:9">
      <c r="B85" s="3"/>
      <c r="C85" s="3"/>
      <c r="D85" s="3"/>
      <c r="E85" s="3"/>
      <c r="F85" s="2"/>
      <c r="G85" s="2"/>
      <c r="H85" s="2"/>
      <c r="I85" s="2"/>
    </row>
    <row r="86" spans="2:9">
      <c r="B86" s="3"/>
      <c r="C86" s="3"/>
      <c r="D86" s="3"/>
      <c r="E86" s="3"/>
      <c r="F86" s="2"/>
      <c r="G86" s="2"/>
      <c r="H86" s="2"/>
      <c r="I86" s="2"/>
    </row>
    <row r="87" spans="2:9">
      <c r="B87" s="3"/>
      <c r="C87" s="3"/>
      <c r="D87" s="3"/>
      <c r="E87" s="3"/>
      <c r="F87" s="2"/>
      <c r="G87" s="2"/>
      <c r="H87" s="2"/>
      <c r="I87" s="2"/>
    </row>
    <row r="88" spans="2:9">
      <c r="B88" s="3"/>
      <c r="C88" s="3"/>
      <c r="D88" s="3"/>
      <c r="E88" s="3"/>
      <c r="F88" s="2"/>
      <c r="G88" s="2"/>
      <c r="H88" s="2"/>
      <c r="I88" s="2"/>
    </row>
    <row r="89" spans="2:9">
      <c r="B89" s="3"/>
      <c r="C89" s="3"/>
      <c r="D89" s="3"/>
      <c r="E89" s="3"/>
      <c r="F89" s="2"/>
      <c r="G89" s="2"/>
      <c r="H89" s="2"/>
      <c r="I89" s="2"/>
    </row>
    <row r="90" spans="2:9">
      <c r="B90" s="3"/>
      <c r="C90" s="3"/>
      <c r="D90" s="3"/>
      <c r="E90" s="3"/>
      <c r="F90" s="2"/>
      <c r="G90" s="2"/>
      <c r="H90" s="2"/>
      <c r="I90" s="2"/>
    </row>
    <row r="91" spans="2:9">
      <c r="B91" s="3"/>
      <c r="C91" s="3"/>
      <c r="D91" s="3"/>
      <c r="E91" s="3"/>
      <c r="F91" s="2"/>
      <c r="G91" s="2"/>
      <c r="H91" s="2"/>
      <c r="I91" s="2"/>
    </row>
    <row r="92" spans="2:9">
      <c r="B92" s="3"/>
      <c r="C92" s="3"/>
      <c r="D92" s="3"/>
      <c r="E92" s="3"/>
      <c r="F92" s="2"/>
      <c r="G92" s="2"/>
      <c r="H92" s="2"/>
      <c r="I92" s="2"/>
    </row>
    <row r="93" spans="2:9">
      <c r="B93" s="3"/>
      <c r="C93" s="3"/>
      <c r="D93" s="3"/>
      <c r="E93" s="3"/>
      <c r="F93" s="2"/>
      <c r="G93" s="2"/>
      <c r="H93" s="2"/>
      <c r="I93" s="2"/>
    </row>
    <row r="94" spans="2:9">
      <c r="B94" s="3"/>
      <c r="C94" s="3"/>
      <c r="D94" s="3"/>
      <c r="E94" s="3"/>
      <c r="F94" s="2"/>
      <c r="G94" s="2"/>
      <c r="H94" s="2"/>
      <c r="I94" s="2"/>
    </row>
    <row r="95" spans="2:9">
      <c r="B95" s="3"/>
      <c r="C95" s="3"/>
      <c r="D95" s="3"/>
      <c r="E95" s="3"/>
      <c r="F95" s="2"/>
      <c r="G95" s="2"/>
      <c r="H95" s="2"/>
      <c r="I95" s="2"/>
    </row>
    <row r="96" spans="2:9">
      <c r="B96" s="3"/>
      <c r="C96" s="3"/>
      <c r="D96" s="3"/>
      <c r="E96" s="3"/>
      <c r="F96" s="2"/>
      <c r="G96" s="2"/>
      <c r="H96" s="2"/>
      <c r="I96" s="2"/>
    </row>
    <row r="97" spans="2:9">
      <c r="B97" s="3"/>
      <c r="C97" s="3"/>
      <c r="D97" s="3"/>
      <c r="E97" s="3"/>
      <c r="F97" s="2"/>
      <c r="G97" s="2"/>
      <c r="H97" s="2"/>
      <c r="I97" s="2"/>
    </row>
    <row r="98" spans="2:9">
      <c r="B98" s="3"/>
      <c r="C98" s="3"/>
      <c r="D98" s="3"/>
      <c r="E98" s="3"/>
      <c r="F98" s="2"/>
      <c r="G98" s="2"/>
      <c r="H98" s="2"/>
      <c r="I98" s="2"/>
    </row>
    <row r="99" spans="2:9">
      <c r="B99" s="3"/>
      <c r="C99" s="3"/>
      <c r="D99" s="3"/>
      <c r="E99" s="3"/>
      <c r="F99" s="2"/>
      <c r="G99" s="2"/>
      <c r="H99" s="2"/>
      <c r="I99" s="2"/>
    </row>
    <row r="100" spans="2:9">
      <c r="B100" s="3"/>
      <c r="C100" s="3"/>
      <c r="D100" s="3"/>
      <c r="E100" s="3"/>
      <c r="F100" s="2"/>
      <c r="G100" s="2"/>
      <c r="H100" s="2"/>
      <c r="I100" s="2"/>
    </row>
    <row r="101" spans="2:9">
      <c r="B101" s="3"/>
      <c r="C101" s="3"/>
      <c r="D101" s="3"/>
      <c r="E101" s="3"/>
      <c r="F101" s="2"/>
      <c r="G101" s="2"/>
      <c r="H101" s="2"/>
      <c r="I101" s="2"/>
    </row>
    <row r="102" spans="2:9">
      <c r="B102" s="3"/>
      <c r="C102" s="3"/>
      <c r="D102" s="3"/>
      <c r="E102" s="3"/>
      <c r="F102" s="2"/>
      <c r="G102" s="2"/>
      <c r="H102" s="2"/>
      <c r="I102" s="2"/>
    </row>
    <row r="103" spans="2:9">
      <c r="B103" s="3"/>
      <c r="C103" s="3"/>
      <c r="D103" s="3"/>
      <c r="E103" s="3"/>
      <c r="F103" s="2"/>
      <c r="G103" s="2"/>
      <c r="H103" s="2"/>
      <c r="I103" s="2"/>
    </row>
    <row r="104" spans="2:9">
      <c r="B104" s="3"/>
      <c r="C104" s="3"/>
      <c r="D104" s="3"/>
      <c r="E104" s="3"/>
      <c r="F104" s="2"/>
      <c r="G104" s="2"/>
      <c r="H104" s="2"/>
      <c r="I104" s="2"/>
    </row>
    <row r="105" spans="2:9">
      <c r="B105" s="3"/>
      <c r="C105" s="3"/>
      <c r="D105" s="3"/>
      <c r="E105" s="3"/>
      <c r="F105" s="2"/>
      <c r="G105" s="2"/>
      <c r="H105" s="2"/>
      <c r="I105" s="2"/>
    </row>
    <row r="106" spans="2:9">
      <c r="B106" s="3"/>
      <c r="C106" s="3"/>
      <c r="D106" s="3"/>
      <c r="E106" s="3"/>
      <c r="F106" s="2"/>
      <c r="G106" s="2"/>
      <c r="H106" s="2"/>
      <c r="I106" s="2"/>
    </row>
    <row r="107" spans="2:9">
      <c r="B107" s="3"/>
      <c r="C107" s="3"/>
      <c r="D107" s="3"/>
      <c r="E107" s="3"/>
      <c r="F107" s="2"/>
      <c r="G107" s="2"/>
      <c r="H107" s="2"/>
      <c r="I107" s="2"/>
    </row>
    <row r="108" spans="2:9">
      <c r="B108" s="3"/>
      <c r="C108" s="3"/>
      <c r="D108" s="3"/>
      <c r="E108" s="3"/>
      <c r="F108" s="2"/>
      <c r="G108" s="2"/>
      <c r="H108" s="2"/>
      <c r="I108" s="2"/>
    </row>
    <row r="109" spans="2:9">
      <c r="B109" s="3"/>
      <c r="C109" s="3"/>
      <c r="D109" s="3"/>
      <c r="E109" s="3"/>
      <c r="F109" s="2"/>
      <c r="G109" s="2"/>
      <c r="H109" s="2"/>
      <c r="I109" s="2"/>
    </row>
    <row r="110" spans="2:9">
      <c r="B110" s="3"/>
      <c r="C110" s="3"/>
      <c r="D110" s="3"/>
      <c r="E110" s="3"/>
      <c r="F110" s="2"/>
      <c r="G110" s="2"/>
      <c r="H110" s="2"/>
      <c r="I110" s="2"/>
    </row>
    <row r="111" spans="2:9">
      <c r="B111" s="3"/>
      <c r="C111" s="3"/>
      <c r="D111" s="3"/>
      <c r="E111" s="3"/>
      <c r="F111" s="2"/>
      <c r="G111" s="2"/>
      <c r="H111" s="2"/>
      <c r="I111" s="2"/>
    </row>
    <row r="112" spans="2:9">
      <c r="B112" s="3"/>
      <c r="C112" s="3"/>
      <c r="D112" s="3"/>
      <c r="E112" s="3"/>
      <c r="F112" s="2"/>
      <c r="G112" s="2"/>
      <c r="H112" s="2"/>
      <c r="I112" s="2"/>
    </row>
    <row r="113" spans="2:9">
      <c r="B113" s="3"/>
      <c r="C113" s="3"/>
      <c r="D113" s="3"/>
      <c r="E113" s="3"/>
      <c r="F113" s="2"/>
      <c r="G113" s="2"/>
      <c r="H113" s="2"/>
      <c r="I113" s="2"/>
    </row>
    <row r="114" spans="2:9">
      <c r="B114" s="3"/>
      <c r="C114" s="3"/>
      <c r="D114" s="3"/>
      <c r="E114" s="3"/>
      <c r="F114" s="2"/>
      <c r="G114" s="2"/>
      <c r="H114" s="2"/>
      <c r="I114" s="2"/>
    </row>
    <row r="115" spans="2:9">
      <c r="B115" s="3"/>
      <c r="C115" s="3"/>
      <c r="D115" s="3"/>
      <c r="E115" s="3"/>
      <c r="F115" s="2"/>
      <c r="G115" s="2"/>
      <c r="H115" s="2"/>
      <c r="I115" s="2"/>
    </row>
    <row r="116" spans="2:9">
      <c r="B116" s="3"/>
      <c r="C116" s="3"/>
      <c r="D116" s="3"/>
      <c r="E116" s="3"/>
      <c r="F116" s="2"/>
      <c r="G116" s="2"/>
      <c r="H116" s="2"/>
      <c r="I116" s="2"/>
    </row>
    <row r="117" spans="2:9">
      <c r="B117" s="3"/>
      <c r="C117" s="3"/>
      <c r="D117" s="3"/>
      <c r="E117" s="3"/>
      <c r="F117" s="2"/>
      <c r="G117" s="2"/>
      <c r="H117" s="2"/>
      <c r="I117" s="2"/>
    </row>
    <row r="118" spans="2:9">
      <c r="B118" s="3"/>
      <c r="C118" s="3"/>
      <c r="D118" s="3"/>
      <c r="E118" s="3"/>
      <c r="F118" s="2"/>
      <c r="G118" s="2"/>
      <c r="H118" s="2"/>
      <c r="I118" s="2"/>
    </row>
    <row r="119" spans="2:9">
      <c r="B119" s="3"/>
      <c r="C119" s="3"/>
      <c r="D119" s="3"/>
      <c r="E119" s="3"/>
      <c r="F119" s="2"/>
      <c r="G119" s="2"/>
      <c r="H119" s="2"/>
      <c r="I119" s="2"/>
    </row>
    <row r="120" spans="2:9">
      <c r="B120" s="3"/>
      <c r="C120" s="3"/>
      <c r="D120" s="3"/>
      <c r="E120" s="3"/>
      <c r="F120" s="2"/>
      <c r="G120" s="2"/>
      <c r="H120" s="2"/>
      <c r="I120" s="2"/>
    </row>
    <row r="121" spans="2:9">
      <c r="B121" s="3"/>
      <c r="C121" s="3"/>
      <c r="D121" s="3"/>
      <c r="E121" s="3"/>
      <c r="F121" s="2"/>
      <c r="G121" s="2"/>
      <c r="H121" s="2"/>
      <c r="I121" s="2"/>
    </row>
    <row r="122" spans="2:9">
      <c r="B122" s="3"/>
      <c r="C122" s="3"/>
      <c r="D122" s="3"/>
      <c r="E122" s="3"/>
      <c r="F122" s="2"/>
      <c r="G122" s="2"/>
      <c r="H122" s="2"/>
      <c r="I122" s="2"/>
    </row>
    <row r="123" spans="2:9">
      <c r="B123" s="3"/>
      <c r="C123" s="3"/>
      <c r="D123" s="3"/>
      <c r="E123" s="3"/>
      <c r="F123" s="2"/>
      <c r="G123" s="2"/>
      <c r="H123" s="2"/>
      <c r="I123" s="2"/>
    </row>
    <row r="124" spans="2:9">
      <c r="B124" s="3"/>
      <c r="C124" s="3"/>
      <c r="D124" s="3"/>
      <c r="E124" s="3"/>
      <c r="F124" s="2"/>
      <c r="G124" s="2"/>
      <c r="H124" s="2"/>
      <c r="I124" s="2"/>
    </row>
    <row r="125" spans="2:9">
      <c r="B125" s="3"/>
      <c r="C125" s="3"/>
      <c r="D125" s="3"/>
      <c r="E125" s="3"/>
      <c r="F125" s="2"/>
      <c r="G125" s="2"/>
      <c r="H125" s="2"/>
      <c r="I125" s="2"/>
    </row>
    <row r="126" spans="2:9">
      <c r="B126" s="3"/>
      <c r="C126" s="3"/>
      <c r="D126" s="3"/>
      <c r="E126" s="3"/>
      <c r="F126" s="2"/>
      <c r="G126" s="2"/>
      <c r="H126" s="2"/>
      <c r="I126" s="2"/>
    </row>
    <row r="127" spans="2:9">
      <c r="B127" s="3"/>
      <c r="C127" s="3"/>
      <c r="D127" s="3"/>
      <c r="E127" s="3"/>
      <c r="F127" s="2"/>
      <c r="G127" s="2"/>
      <c r="H127" s="2"/>
      <c r="I127" s="2"/>
    </row>
    <row r="128" spans="2:9">
      <c r="B128" s="3"/>
      <c r="C128" s="3"/>
      <c r="D128" s="3"/>
      <c r="E128" s="3"/>
      <c r="F128" s="2"/>
      <c r="G128" s="2"/>
      <c r="H128" s="2"/>
      <c r="I128" s="2"/>
    </row>
    <row r="129" spans="2:9">
      <c r="B129" s="3"/>
      <c r="C129" s="3"/>
      <c r="D129" s="3"/>
      <c r="E129" s="3"/>
      <c r="F129" s="2"/>
      <c r="G129" s="2"/>
      <c r="H129" s="2"/>
      <c r="I129" s="2"/>
    </row>
    <row r="130" spans="2:9">
      <c r="B130" s="3"/>
      <c r="C130" s="3"/>
      <c r="D130" s="3"/>
      <c r="E130" s="3"/>
      <c r="F130" s="2"/>
      <c r="G130" s="2"/>
      <c r="H130" s="2"/>
      <c r="I130" s="2"/>
    </row>
    <row r="131" spans="2:9">
      <c r="B131" s="3"/>
      <c r="C131" s="3"/>
      <c r="D131" s="3"/>
      <c r="E131" s="3"/>
      <c r="F131" s="2"/>
      <c r="G131" s="2"/>
      <c r="H131" s="2"/>
      <c r="I131" s="2"/>
    </row>
    <row r="132" spans="2:9">
      <c r="B132" s="3"/>
      <c r="C132" s="3"/>
      <c r="D132" s="3"/>
      <c r="E132" s="3"/>
      <c r="F132" s="2"/>
      <c r="G132" s="2"/>
      <c r="H132" s="2"/>
      <c r="I132" s="2"/>
    </row>
    <row r="133" spans="2:9">
      <c r="B133" s="3"/>
      <c r="C133" s="3"/>
      <c r="D133" s="3"/>
      <c r="E133" s="3"/>
      <c r="F133" s="2"/>
      <c r="G133" s="2"/>
      <c r="H133" s="2"/>
      <c r="I133" s="2"/>
    </row>
    <row r="134" spans="2:9">
      <c r="B134" s="3"/>
      <c r="C134" s="3"/>
      <c r="D134" s="3"/>
      <c r="E134" s="3"/>
      <c r="F134" s="2"/>
      <c r="G134" s="2"/>
      <c r="H134" s="2"/>
      <c r="I134" s="2"/>
    </row>
    <row r="135" spans="2:9">
      <c r="B135" s="3"/>
      <c r="C135" s="3"/>
      <c r="D135" s="3"/>
      <c r="E135" s="3"/>
      <c r="F135" s="2"/>
      <c r="G135" s="2"/>
      <c r="H135" s="2"/>
      <c r="I135" s="2"/>
    </row>
    <row r="136" spans="2:9">
      <c r="B136" s="3"/>
      <c r="C136" s="3"/>
      <c r="D136" s="3"/>
      <c r="E136" s="3"/>
      <c r="F136" s="2"/>
      <c r="G136" s="2"/>
      <c r="H136" s="2"/>
      <c r="I136" s="2"/>
    </row>
    <row r="137" spans="2:9">
      <c r="B137" s="3"/>
      <c r="C137" s="3"/>
      <c r="D137" s="3"/>
      <c r="E137" s="3"/>
      <c r="F137" s="2"/>
      <c r="G137" s="2"/>
      <c r="H137" s="2"/>
      <c r="I137" s="2"/>
    </row>
    <row r="138" spans="2:9">
      <c r="B138" s="3"/>
      <c r="C138" s="3"/>
      <c r="D138" s="3"/>
      <c r="E138" s="3"/>
      <c r="F138" s="2"/>
      <c r="G138" s="2"/>
      <c r="H138" s="2"/>
      <c r="I138" s="2"/>
    </row>
    <row r="139" spans="2:9">
      <c r="B139" s="3"/>
      <c r="C139" s="3"/>
      <c r="D139" s="3"/>
      <c r="E139" s="3"/>
      <c r="F139" s="2"/>
      <c r="G139" s="2"/>
      <c r="H139" s="2"/>
      <c r="I139" s="2"/>
    </row>
    <row r="140" spans="2:9">
      <c r="B140" s="3"/>
      <c r="C140" s="3"/>
      <c r="D140" s="3"/>
      <c r="E140" s="3"/>
      <c r="F140" s="2"/>
      <c r="G140" s="2"/>
      <c r="H140" s="2"/>
      <c r="I140" s="2"/>
    </row>
    <row r="141" spans="2:9">
      <c r="B141" s="3"/>
      <c r="C141" s="3"/>
      <c r="D141" s="3"/>
      <c r="E141" s="3"/>
      <c r="F141" s="2"/>
      <c r="G141" s="2"/>
      <c r="H141" s="2"/>
      <c r="I141" s="2"/>
    </row>
    <row r="142" spans="2:9">
      <c r="B142" s="3"/>
      <c r="C142" s="3"/>
      <c r="D142" s="3"/>
      <c r="E142" s="3"/>
      <c r="F142" s="2"/>
      <c r="G142" s="2"/>
      <c r="H142" s="2"/>
      <c r="I142" s="2"/>
    </row>
    <row r="143" spans="2:9">
      <c r="B143" s="3"/>
      <c r="C143" s="3"/>
      <c r="D143" s="3"/>
      <c r="E143" s="3"/>
      <c r="F143" s="2"/>
      <c r="G143" s="2"/>
      <c r="H143" s="2"/>
      <c r="I143" s="2"/>
    </row>
    <row r="144" spans="2:9">
      <c r="B144" s="3"/>
      <c r="C144" s="3"/>
      <c r="D144" s="3"/>
      <c r="E144" s="3"/>
      <c r="F144" s="2"/>
      <c r="G144" s="2"/>
      <c r="H144" s="2"/>
      <c r="I144" s="2"/>
    </row>
    <row r="145" spans="2:9">
      <c r="B145" s="3"/>
      <c r="C145" s="3"/>
      <c r="D145" s="3"/>
      <c r="E145" s="3"/>
      <c r="F145" s="2"/>
      <c r="G145" s="2"/>
      <c r="H145" s="2"/>
      <c r="I145" s="2"/>
    </row>
    <row r="146" spans="2:9">
      <c r="B146" s="3"/>
      <c r="C146" s="3"/>
      <c r="D146" s="3"/>
      <c r="E146" s="3"/>
      <c r="F146" s="2"/>
      <c r="G146" s="2"/>
      <c r="H146" s="2"/>
      <c r="I146" s="2"/>
    </row>
    <row r="147" spans="2:9">
      <c r="B147" s="3"/>
      <c r="C147" s="3"/>
      <c r="D147" s="3"/>
      <c r="E147" s="3"/>
      <c r="F147" s="2"/>
      <c r="G147" s="2"/>
      <c r="H147" s="2"/>
      <c r="I147" s="2"/>
    </row>
    <row r="148" spans="2:9">
      <c r="B148" s="3"/>
      <c r="C148" s="3"/>
      <c r="D148" s="3"/>
      <c r="E148" s="3"/>
      <c r="F148" s="2"/>
      <c r="G148" s="2"/>
      <c r="H148" s="2"/>
      <c r="I148" s="2"/>
    </row>
    <row r="149" spans="2:9">
      <c r="B149" s="3"/>
      <c r="C149" s="3"/>
      <c r="D149" s="3"/>
      <c r="E149" s="3"/>
      <c r="F149" s="2"/>
      <c r="G149" s="2"/>
      <c r="H149" s="2"/>
      <c r="I149" s="2"/>
    </row>
    <row r="150" spans="2:9">
      <c r="B150" s="3"/>
      <c r="C150" s="3"/>
      <c r="D150" s="3"/>
      <c r="E150" s="3"/>
      <c r="F150" s="2"/>
      <c r="G150" s="2"/>
      <c r="H150" s="2"/>
      <c r="I150" s="2"/>
    </row>
    <row r="151" spans="2:9">
      <c r="B151" s="3"/>
      <c r="C151" s="3"/>
      <c r="D151" s="3"/>
      <c r="E151" s="3"/>
      <c r="F151" s="2"/>
      <c r="G151" s="2"/>
      <c r="H151" s="2"/>
      <c r="I151" s="2"/>
    </row>
    <row r="152" spans="2:9">
      <c r="B152" s="3"/>
      <c r="C152" s="3"/>
      <c r="D152" s="3"/>
      <c r="E152" s="3"/>
      <c r="F152" s="2"/>
      <c r="G152" s="2"/>
      <c r="H152" s="2"/>
      <c r="I152" s="2"/>
    </row>
    <row r="153" spans="2:9">
      <c r="B153" s="3"/>
      <c r="C153" s="3"/>
      <c r="D153" s="3"/>
      <c r="E153" s="3"/>
      <c r="F153" s="2"/>
      <c r="G153" s="2"/>
      <c r="H153" s="2"/>
      <c r="I153" s="2"/>
    </row>
    <row r="154" spans="2:9">
      <c r="B154" s="3"/>
      <c r="C154" s="3"/>
      <c r="D154" s="3"/>
      <c r="E154" s="3"/>
      <c r="F154" s="2"/>
      <c r="G154" s="2"/>
      <c r="H154" s="2"/>
      <c r="I154" s="2"/>
    </row>
    <row r="155" spans="2:9">
      <c r="B155" s="3"/>
      <c r="C155" s="3"/>
      <c r="D155" s="3"/>
      <c r="E155" s="3"/>
      <c r="F155" s="2"/>
      <c r="G155" s="2"/>
      <c r="H155" s="2"/>
      <c r="I155" s="2"/>
    </row>
    <row r="156" spans="2:9">
      <c r="B156" s="3"/>
      <c r="C156" s="3"/>
      <c r="D156" s="3"/>
      <c r="E156" s="3"/>
      <c r="F156" s="2"/>
      <c r="G156" s="2"/>
      <c r="H156" s="2"/>
      <c r="I156" s="2"/>
    </row>
    <row r="157" spans="2:9">
      <c r="B157" s="3"/>
      <c r="C157" s="3"/>
      <c r="D157" s="3"/>
      <c r="E157" s="3"/>
      <c r="F157" s="2"/>
      <c r="G157" s="2"/>
      <c r="H157" s="2"/>
      <c r="I157" s="2"/>
    </row>
    <row r="158" spans="2:9">
      <c r="B158" s="3"/>
      <c r="C158" s="3"/>
      <c r="D158" s="3"/>
      <c r="E158" s="3"/>
      <c r="F158" s="2"/>
      <c r="G158" s="2"/>
      <c r="H158" s="2"/>
      <c r="I158" s="2"/>
    </row>
    <row r="159" spans="2:9">
      <c r="B159" s="3"/>
      <c r="C159" s="3"/>
      <c r="D159" s="3"/>
      <c r="E159" s="3"/>
      <c r="F159" s="2"/>
      <c r="G159" s="2"/>
      <c r="H159" s="2"/>
      <c r="I159" s="2"/>
    </row>
    <row r="160" spans="2:9">
      <c r="B160" s="3"/>
      <c r="C160" s="3"/>
      <c r="D160" s="3"/>
      <c r="E160" s="3"/>
      <c r="F160" s="2"/>
      <c r="G160" s="2"/>
      <c r="H160" s="2"/>
      <c r="I160" s="2"/>
    </row>
    <row r="161" spans="2:9">
      <c r="B161" s="3"/>
      <c r="C161" s="3"/>
      <c r="D161" s="3"/>
      <c r="E161" s="3"/>
      <c r="F161" s="2"/>
      <c r="G161" s="2"/>
      <c r="H161" s="2"/>
      <c r="I161" s="2"/>
    </row>
    <row r="162" spans="2:9">
      <c r="B162" s="3"/>
      <c r="C162" s="3"/>
      <c r="D162" s="3"/>
      <c r="E162" s="3"/>
      <c r="F162" s="2"/>
      <c r="G162" s="2"/>
      <c r="H162" s="2"/>
      <c r="I162" s="2"/>
    </row>
    <row r="163" spans="2:9">
      <c r="B163" s="3"/>
      <c r="C163" s="3"/>
      <c r="D163" s="3"/>
      <c r="E163" s="3"/>
      <c r="F163" s="2"/>
      <c r="G163" s="2"/>
      <c r="H163" s="2"/>
      <c r="I163" s="2"/>
    </row>
    <row r="164" spans="2:9">
      <c r="B164" s="3"/>
      <c r="C164" s="3"/>
      <c r="D164" s="3"/>
      <c r="E164" s="3"/>
      <c r="F164" s="2"/>
      <c r="G164" s="2"/>
      <c r="H164" s="2"/>
      <c r="I164" s="2"/>
    </row>
    <row r="165" spans="2:9">
      <c r="B165" s="3"/>
      <c r="C165" s="3"/>
      <c r="D165" s="3"/>
      <c r="E165" s="3"/>
      <c r="F165" s="2"/>
      <c r="G165" s="2"/>
      <c r="H165" s="2"/>
      <c r="I165" s="2"/>
    </row>
    <row r="166" spans="2:9">
      <c r="B166" s="3"/>
      <c r="C166" s="3"/>
      <c r="D166" s="3"/>
      <c r="E166" s="3"/>
      <c r="F166" s="2"/>
      <c r="G166" s="2"/>
      <c r="H166" s="2"/>
      <c r="I166" s="2"/>
    </row>
    <row r="167" spans="2:9">
      <c r="B167" s="3"/>
      <c r="C167" s="3"/>
      <c r="D167" s="3"/>
      <c r="E167" s="3"/>
      <c r="F167" s="2"/>
      <c r="G167" s="2"/>
      <c r="H167" s="2"/>
      <c r="I167" s="2"/>
    </row>
    <row r="168" spans="2:9">
      <c r="B168" s="3"/>
      <c r="C168" s="3"/>
      <c r="D168" s="3"/>
      <c r="E168" s="3"/>
      <c r="F168" s="2"/>
      <c r="G168" s="2"/>
      <c r="H168" s="2"/>
      <c r="I168" s="2"/>
    </row>
    <row r="169" spans="2:9">
      <c r="B169" s="3"/>
      <c r="C169" s="3"/>
      <c r="D169" s="3"/>
      <c r="E169" s="3"/>
      <c r="F169" s="2"/>
      <c r="G169" s="2"/>
      <c r="H169" s="2"/>
      <c r="I169" s="2"/>
    </row>
    <row r="170" spans="2:9">
      <c r="B170" s="3"/>
      <c r="C170" s="3"/>
      <c r="D170" s="3"/>
      <c r="E170" s="3"/>
      <c r="F170" s="2"/>
      <c r="G170" s="2"/>
      <c r="H170" s="2"/>
      <c r="I170" s="2"/>
    </row>
    <row r="171" spans="2:9">
      <c r="B171" s="3"/>
      <c r="C171" s="3"/>
      <c r="D171" s="3"/>
      <c r="E171" s="3"/>
      <c r="F171" s="2"/>
      <c r="G171" s="2"/>
      <c r="H171" s="2"/>
      <c r="I171" s="2"/>
    </row>
    <row r="172" spans="2:9">
      <c r="B172" s="3"/>
      <c r="C172" s="3"/>
      <c r="D172" s="3"/>
      <c r="E172" s="3"/>
      <c r="F172" s="2"/>
      <c r="G172" s="2"/>
      <c r="H172" s="2"/>
      <c r="I172" s="2"/>
    </row>
    <row r="173" spans="2:9">
      <c r="B173" s="3"/>
      <c r="C173" s="3"/>
      <c r="D173" s="3"/>
      <c r="E173" s="3"/>
      <c r="F173" s="2"/>
      <c r="G173" s="2"/>
      <c r="H173" s="2"/>
      <c r="I173" s="2"/>
    </row>
    <row r="174" spans="2:9">
      <c r="B174" s="3"/>
      <c r="C174" s="3"/>
      <c r="D174" s="3"/>
      <c r="E174" s="3"/>
      <c r="F174" s="2"/>
      <c r="G174" s="2"/>
      <c r="H174" s="2"/>
      <c r="I174" s="2"/>
    </row>
    <row r="175" spans="2:9">
      <c r="B175" s="3"/>
      <c r="C175" s="3"/>
      <c r="D175" s="3"/>
      <c r="E175" s="3"/>
      <c r="F175" s="2"/>
      <c r="G175" s="2"/>
      <c r="H175" s="2"/>
      <c r="I175" s="2"/>
    </row>
    <row r="176" spans="2:9">
      <c r="B176" s="3"/>
      <c r="C176" s="3"/>
      <c r="D176" s="3"/>
      <c r="E176" s="3"/>
      <c r="F176" s="2"/>
      <c r="G176" s="2"/>
      <c r="H176" s="2"/>
      <c r="I176" s="2"/>
    </row>
    <row r="177" spans="2:9">
      <c r="B177" s="3"/>
      <c r="C177" s="3"/>
      <c r="D177" s="3"/>
      <c r="E177" s="3"/>
      <c r="F177" s="2"/>
      <c r="G177" s="2"/>
      <c r="H177" s="2"/>
      <c r="I177" s="2"/>
    </row>
    <row r="178" spans="2:9">
      <c r="B178" s="3"/>
      <c r="C178" s="3"/>
      <c r="D178" s="3"/>
      <c r="E178" s="3"/>
      <c r="F178" s="2"/>
      <c r="G178" s="2"/>
      <c r="H178" s="2"/>
      <c r="I178" s="2"/>
    </row>
    <row r="179" spans="2:9">
      <c r="B179" s="3"/>
      <c r="C179" s="3"/>
      <c r="D179" s="3"/>
      <c r="E179" s="3"/>
      <c r="F179" s="2"/>
      <c r="G179" s="2"/>
      <c r="H179" s="2"/>
      <c r="I179" s="2"/>
    </row>
    <row r="180" spans="2:9">
      <c r="B180" s="3"/>
      <c r="C180" s="3"/>
      <c r="D180" s="3"/>
      <c r="E180" s="3"/>
      <c r="F180" s="2"/>
      <c r="G180" s="2"/>
      <c r="H180" s="2"/>
      <c r="I180" s="2"/>
    </row>
    <row r="181" spans="2:9">
      <c r="B181" s="3"/>
      <c r="C181" s="3"/>
      <c r="D181" s="3"/>
      <c r="E181" s="3"/>
      <c r="F181" s="2"/>
      <c r="G181" s="2"/>
      <c r="H181" s="2"/>
      <c r="I181" s="2"/>
    </row>
    <row r="182" spans="2:9">
      <c r="B182" s="3"/>
      <c r="C182" s="3"/>
      <c r="D182" s="3"/>
      <c r="E182" s="3"/>
      <c r="F182" s="2"/>
      <c r="G182" s="2"/>
      <c r="H182" s="2"/>
      <c r="I182" s="2"/>
    </row>
    <row r="183" spans="2:9">
      <c r="B183" s="3"/>
      <c r="C183" s="3"/>
      <c r="D183" s="3"/>
      <c r="E183" s="3"/>
      <c r="F183" s="2"/>
      <c r="G183" s="2"/>
      <c r="H183" s="2"/>
      <c r="I183" s="2"/>
    </row>
    <row r="184" spans="2:9">
      <c r="B184" s="3"/>
      <c r="C184" s="3"/>
      <c r="D184" s="3"/>
      <c r="E184" s="3"/>
      <c r="F184" s="2"/>
      <c r="G184" s="2"/>
      <c r="H184" s="2"/>
      <c r="I184" s="2"/>
    </row>
    <row r="185" spans="2:9">
      <c r="B185" s="3"/>
      <c r="C185" s="3"/>
      <c r="D185" s="3"/>
      <c r="E185" s="3"/>
      <c r="F185" s="2"/>
      <c r="G185" s="2"/>
      <c r="H185" s="2"/>
      <c r="I185" s="2"/>
    </row>
    <row r="186" spans="2:9">
      <c r="B186" s="3"/>
      <c r="C186" s="3"/>
      <c r="D186" s="3"/>
      <c r="E186" s="3"/>
      <c r="F186" s="2"/>
      <c r="G186" s="2"/>
      <c r="H186" s="2"/>
      <c r="I186" s="2"/>
    </row>
    <row r="187" spans="2:9">
      <c r="B187" s="3"/>
      <c r="C187" s="3"/>
      <c r="D187" s="3"/>
      <c r="E187" s="3"/>
      <c r="F187" s="2"/>
      <c r="G187" s="2"/>
      <c r="H187" s="2"/>
      <c r="I187" s="2"/>
    </row>
    <row r="188" spans="2:9">
      <c r="B188" s="3"/>
      <c r="C188" s="3"/>
      <c r="D188" s="3"/>
      <c r="E188" s="3"/>
      <c r="F188" s="2"/>
      <c r="G188" s="2"/>
      <c r="H188" s="2"/>
      <c r="I188" s="2"/>
    </row>
    <row r="189" spans="2:9">
      <c r="B189" s="3"/>
      <c r="C189" s="3"/>
      <c r="D189" s="3"/>
      <c r="E189" s="3"/>
      <c r="F189" s="2"/>
      <c r="G189" s="2"/>
      <c r="H189" s="2"/>
      <c r="I189" s="2"/>
    </row>
    <row r="190" spans="2:9">
      <c r="B190" s="3"/>
      <c r="C190" s="3"/>
      <c r="D190" s="3"/>
      <c r="E190" s="3"/>
      <c r="F190" s="2"/>
      <c r="G190" s="2"/>
      <c r="H190" s="2"/>
      <c r="I190" s="2"/>
    </row>
    <row r="191" spans="2:9">
      <c r="B191" s="3"/>
      <c r="C191" s="3"/>
      <c r="D191" s="3"/>
      <c r="E191" s="3"/>
      <c r="F191" s="2"/>
      <c r="G191" s="2"/>
      <c r="H191" s="2"/>
      <c r="I191" s="2"/>
    </row>
    <row r="192" spans="2:9">
      <c r="B192" s="3"/>
      <c r="C192" s="3"/>
      <c r="D192" s="3"/>
      <c r="E192" s="3"/>
      <c r="F192" s="2"/>
      <c r="G192" s="2"/>
      <c r="H192" s="2"/>
      <c r="I192" s="2"/>
    </row>
    <row r="193" spans="2:9">
      <c r="B193" s="3"/>
      <c r="C193" s="3"/>
      <c r="D193" s="3"/>
      <c r="E193" s="3"/>
      <c r="F193" s="2"/>
      <c r="G193" s="2"/>
      <c r="H193" s="2"/>
      <c r="I193" s="2"/>
    </row>
    <row r="194" spans="2:9">
      <c r="B194" s="3"/>
      <c r="C194" s="3"/>
      <c r="D194" s="3"/>
      <c r="E194" s="3"/>
      <c r="F194" s="2"/>
      <c r="G194" s="2"/>
      <c r="H194" s="2"/>
      <c r="I194" s="2"/>
    </row>
    <row r="195" spans="2:9">
      <c r="B195" s="3"/>
      <c r="C195" s="3"/>
      <c r="D195" s="3"/>
      <c r="E195" s="3"/>
      <c r="F195" s="2"/>
      <c r="G195" s="2"/>
      <c r="H195" s="2"/>
      <c r="I195" s="2"/>
    </row>
    <row r="196" spans="2:9">
      <c r="B196" s="3"/>
      <c r="C196" s="3"/>
      <c r="D196" s="3"/>
      <c r="E196" s="3"/>
      <c r="F196" s="2"/>
      <c r="G196" s="2"/>
      <c r="H196" s="2"/>
      <c r="I196" s="2"/>
    </row>
    <row r="197" spans="2:9">
      <c r="B197" s="3"/>
      <c r="C197" s="3"/>
      <c r="D197" s="3"/>
      <c r="E197" s="3"/>
      <c r="F197" s="2"/>
      <c r="G197" s="2"/>
      <c r="H197" s="2"/>
      <c r="I197" s="2"/>
    </row>
    <row r="198" spans="2:9">
      <c r="B198" s="3"/>
      <c r="C198" s="3"/>
      <c r="D198" s="3"/>
      <c r="E198" s="3"/>
      <c r="F198" s="2"/>
      <c r="G198" s="2"/>
      <c r="H198" s="2"/>
      <c r="I198" s="2"/>
    </row>
    <row r="199" spans="2:9">
      <c r="B199" s="3"/>
      <c r="C199" s="3"/>
      <c r="D199" s="3"/>
      <c r="E199" s="3"/>
      <c r="F199" s="2"/>
      <c r="G199" s="2"/>
      <c r="H199" s="2"/>
      <c r="I199" s="2"/>
    </row>
    <row r="200" spans="2:9">
      <c r="B200" s="3"/>
      <c r="C200" s="3"/>
      <c r="D200" s="3"/>
      <c r="E200" s="3"/>
      <c r="F200" s="2"/>
      <c r="G200" s="2"/>
      <c r="H200" s="2"/>
      <c r="I200" s="2"/>
    </row>
    <row r="201" spans="2:9">
      <c r="B201" s="3"/>
      <c r="C201" s="3"/>
      <c r="D201" s="3"/>
      <c r="E201" s="3"/>
      <c r="F201" s="2"/>
      <c r="G201" s="2"/>
      <c r="H201" s="2"/>
      <c r="I201" s="2"/>
    </row>
    <row r="202" spans="2:9">
      <c r="B202" s="3"/>
      <c r="C202" s="3"/>
      <c r="D202" s="3"/>
      <c r="E202" s="3"/>
      <c r="F202" s="2"/>
      <c r="G202" s="2"/>
      <c r="H202" s="2"/>
      <c r="I202" s="2"/>
    </row>
    <row r="203" spans="2:9">
      <c r="B203" s="3"/>
      <c r="C203" s="3"/>
      <c r="D203" s="3"/>
      <c r="E203" s="3"/>
      <c r="F203" s="2"/>
      <c r="G203" s="2"/>
      <c r="H203" s="2"/>
      <c r="I203" s="2"/>
    </row>
    <row r="204" spans="2:9">
      <c r="B204" s="3"/>
      <c r="C204" s="3"/>
      <c r="D204" s="3"/>
      <c r="E204" s="3"/>
      <c r="F204" s="2"/>
      <c r="G204" s="2"/>
      <c r="H204" s="2"/>
      <c r="I204" s="2"/>
    </row>
    <row r="205" spans="2:9">
      <c r="B205" s="3"/>
      <c r="C205" s="3"/>
      <c r="D205" s="3"/>
      <c r="E205" s="3"/>
      <c r="F205" s="2"/>
      <c r="G205" s="2"/>
      <c r="H205" s="2"/>
      <c r="I205" s="2"/>
    </row>
    <row r="206" spans="2:9">
      <c r="B206" s="3"/>
      <c r="C206" s="3"/>
      <c r="D206" s="3"/>
      <c r="E206" s="3"/>
      <c r="F206" s="2"/>
      <c r="G206" s="2"/>
      <c r="H206" s="2"/>
      <c r="I206" s="2"/>
    </row>
    <row r="207" spans="2:9">
      <c r="B207" s="3"/>
      <c r="C207" s="3"/>
      <c r="D207" s="3"/>
      <c r="E207" s="3"/>
      <c r="F207" s="2"/>
      <c r="G207" s="2"/>
      <c r="H207" s="2"/>
      <c r="I207" s="2"/>
    </row>
    <row r="208" spans="2:9">
      <c r="B208" s="3"/>
      <c r="C208" s="3"/>
      <c r="D208" s="3"/>
      <c r="E208" s="3"/>
      <c r="F208" s="2"/>
      <c r="G208" s="2"/>
      <c r="H208" s="2"/>
      <c r="I208" s="2"/>
    </row>
    <row r="209" spans="2:9">
      <c r="B209" s="3"/>
      <c r="C209" s="3"/>
      <c r="D209" s="3"/>
      <c r="E209" s="3"/>
      <c r="F209" s="2"/>
      <c r="G209" s="2"/>
      <c r="H209" s="2"/>
      <c r="I209" s="2"/>
    </row>
    <row r="210" spans="2:9">
      <c r="B210" s="3"/>
      <c r="C210" s="3"/>
      <c r="D210" s="3"/>
      <c r="E210" s="3"/>
      <c r="F210" s="2"/>
      <c r="G210" s="2"/>
      <c r="H210" s="2"/>
      <c r="I210" s="2"/>
    </row>
    <row r="211" spans="2:9">
      <c r="B211" s="3"/>
      <c r="C211" s="3"/>
      <c r="D211" s="3"/>
      <c r="E211" s="3"/>
      <c r="F211" s="2"/>
      <c r="G211" s="2"/>
      <c r="H211" s="2"/>
      <c r="I211" s="2"/>
    </row>
    <row r="212" spans="2:9">
      <c r="B212" s="3"/>
      <c r="C212" s="3"/>
      <c r="D212" s="3"/>
      <c r="E212" s="3"/>
      <c r="F212" s="2"/>
      <c r="G212" s="2"/>
      <c r="H212" s="2"/>
      <c r="I212" s="2"/>
    </row>
    <row r="213" spans="2:9">
      <c r="B213" s="3"/>
      <c r="C213" s="3"/>
      <c r="D213" s="3"/>
      <c r="E213" s="3"/>
      <c r="F213" s="2"/>
      <c r="G213" s="2"/>
      <c r="H213" s="2"/>
      <c r="I213" s="2"/>
    </row>
    <row r="214" spans="2:9">
      <c r="B214" s="3"/>
      <c r="C214" s="3"/>
      <c r="D214" s="3"/>
      <c r="E214" s="3"/>
      <c r="F214" s="2"/>
      <c r="G214" s="2"/>
      <c r="H214" s="2"/>
      <c r="I214" s="2"/>
    </row>
    <row r="215" spans="2:9">
      <c r="B215" s="3"/>
      <c r="C215" s="3"/>
      <c r="D215" s="3"/>
      <c r="E215" s="3"/>
      <c r="F215" s="2"/>
      <c r="G215" s="2"/>
      <c r="H215" s="2"/>
      <c r="I215" s="2"/>
    </row>
    <row r="216" spans="2:9">
      <c r="B216" s="3"/>
      <c r="C216" s="3"/>
      <c r="D216" s="3"/>
      <c r="E216" s="3"/>
      <c r="F216" s="2"/>
      <c r="G216" s="2"/>
      <c r="H216" s="2"/>
      <c r="I216" s="2"/>
    </row>
    <row r="217" spans="2:9">
      <c r="B217" s="3"/>
      <c r="C217" s="3"/>
      <c r="D217" s="3"/>
      <c r="E217" s="3"/>
      <c r="F217" s="2"/>
      <c r="G217" s="2"/>
      <c r="H217" s="2"/>
      <c r="I217" s="2"/>
    </row>
    <row r="218" spans="2:9">
      <c r="B218" s="3"/>
      <c r="C218" s="3"/>
      <c r="D218" s="3"/>
      <c r="E218" s="3"/>
      <c r="F218" s="2"/>
      <c r="G218" s="2"/>
      <c r="H218" s="2"/>
      <c r="I218" s="2"/>
    </row>
    <row r="219" spans="2:9">
      <c r="B219" s="3"/>
      <c r="C219" s="3"/>
      <c r="D219" s="3"/>
      <c r="E219" s="3"/>
      <c r="F219" s="2"/>
      <c r="G219" s="2"/>
      <c r="H219" s="2"/>
      <c r="I219" s="2"/>
    </row>
    <row r="220" spans="2:9">
      <c r="B220" s="3"/>
      <c r="C220" s="3"/>
      <c r="D220" s="3"/>
      <c r="E220" s="3"/>
      <c r="F220" s="2"/>
      <c r="G220" s="2"/>
      <c r="H220" s="2"/>
      <c r="I220" s="2"/>
    </row>
    <row r="221" spans="2:9">
      <c r="B221" s="3"/>
      <c r="C221" s="3"/>
      <c r="D221" s="3"/>
      <c r="E221" s="3"/>
      <c r="F221" s="2"/>
      <c r="G221" s="2"/>
      <c r="H221" s="2"/>
      <c r="I221" s="2"/>
    </row>
    <row r="222" spans="2:9">
      <c r="B222" s="3"/>
      <c r="C222" s="3"/>
      <c r="D222" s="3"/>
      <c r="E222" s="3"/>
      <c r="F222" s="2"/>
      <c r="G222" s="2"/>
      <c r="H222" s="2"/>
      <c r="I222" s="2"/>
    </row>
    <row r="223" spans="2:9">
      <c r="B223" s="3"/>
      <c r="C223" s="3"/>
      <c r="D223" s="3"/>
      <c r="E223" s="3"/>
      <c r="F223" s="2"/>
      <c r="G223" s="2"/>
      <c r="H223" s="2"/>
      <c r="I223" s="2"/>
    </row>
    <row r="224" spans="2:9">
      <c r="B224" s="3"/>
      <c r="C224" s="3"/>
      <c r="D224" s="3"/>
      <c r="E224" s="3"/>
      <c r="F224" s="2"/>
      <c r="G224" s="2"/>
      <c r="H224" s="2"/>
      <c r="I224" s="2"/>
    </row>
    <row r="225" spans="2:9">
      <c r="B225" s="3"/>
      <c r="C225" s="3"/>
      <c r="D225" s="3"/>
      <c r="E225" s="3"/>
      <c r="F225" s="2"/>
      <c r="G225" s="2"/>
      <c r="H225" s="2"/>
      <c r="I225" s="2"/>
    </row>
    <row r="226" spans="2:9">
      <c r="B226" s="3"/>
      <c r="C226" s="3"/>
      <c r="D226" s="3"/>
      <c r="E226" s="3"/>
      <c r="F226" s="2"/>
      <c r="G226" s="2"/>
      <c r="H226" s="2"/>
      <c r="I226" s="2"/>
    </row>
    <row r="227" spans="2:9">
      <c r="B227" s="3"/>
      <c r="C227" s="3"/>
      <c r="D227" s="3"/>
      <c r="E227" s="3"/>
      <c r="F227" s="2"/>
      <c r="G227" s="2"/>
      <c r="H227" s="2"/>
      <c r="I227" s="2"/>
    </row>
    <row r="228" spans="2:9">
      <c r="B228" s="3"/>
      <c r="C228" s="3"/>
      <c r="D228" s="3"/>
      <c r="E228" s="3"/>
      <c r="F228" s="2"/>
      <c r="G228" s="2"/>
      <c r="H228" s="2"/>
      <c r="I228" s="2"/>
    </row>
    <row r="229" spans="2:9">
      <c r="B229" s="3"/>
      <c r="C229" s="3"/>
      <c r="D229" s="3"/>
      <c r="E229" s="3"/>
      <c r="F229" s="2"/>
      <c r="G229" s="2"/>
      <c r="H229" s="2"/>
      <c r="I229" s="2"/>
    </row>
    <row r="230" spans="2:9">
      <c r="B230" s="3"/>
      <c r="C230" s="3"/>
      <c r="D230" s="3"/>
      <c r="E230" s="3"/>
      <c r="F230" s="2"/>
      <c r="G230" s="2"/>
      <c r="H230" s="2"/>
      <c r="I230" s="2"/>
    </row>
    <row r="231" spans="2:9">
      <c r="B231" s="3"/>
      <c r="C231" s="3"/>
      <c r="D231" s="3"/>
      <c r="E231" s="3"/>
      <c r="F231" s="2"/>
      <c r="G231" s="2"/>
      <c r="H231" s="2"/>
      <c r="I231" s="2"/>
    </row>
    <row r="232" spans="2:9">
      <c r="B232" s="3"/>
      <c r="C232" s="3"/>
      <c r="D232" s="3"/>
      <c r="E232" s="3"/>
      <c r="F232" s="2"/>
      <c r="G232" s="2"/>
      <c r="H232" s="2"/>
      <c r="I232" s="2"/>
    </row>
    <row r="233" spans="2:9">
      <c r="B233" s="3"/>
      <c r="C233" s="3"/>
      <c r="D233" s="3"/>
      <c r="E233" s="3"/>
      <c r="F233" s="2"/>
      <c r="G233" s="2"/>
      <c r="H233" s="2"/>
      <c r="I233" s="2"/>
    </row>
    <row r="234" spans="2:9">
      <c r="B234" s="3"/>
      <c r="C234" s="3"/>
      <c r="D234" s="3"/>
      <c r="E234" s="3"/>
      <c r="F234" s="2"/>
      <c r="G234" s="2"/>
      <c r="H234" s="2"/>
      <c r="I234" s="2"/>
    </row>
    <row r="235" spans="2:9">
      <c r="B235" s="3"/>
      <c r="C235" s="3"/>
      <c r="D235" s="3"/>
      <c r="E235" s="3"/>
      <c r="F235" s="2"/>
      <c r="G235" s="2"/>
      <c r="H235" s="2"/>
      <c r="I235" s="2"/>
    </row>
    <row r="236" spans="2:9">
      <c r="B236" s="3"/>
      <c r="C236" s="3"/>
      <c r="D236" s="3"/>
      <c r="E236" s="3"/>
      <c r="F236" s="2"/>
      <c r="G236" s="2"/>
      <c r="H236" s="2"/>
      <c r="I236" s="2"/>
    </row>
    <row r="237" spans="2:9">
      <c r="B237" s="3"/>
      <c r="C237" s="3"/>
      <c r="D237" s="3"/>
      <c r="E237" s="3"/>
      <c r="F237" s="2"/>
      <c r="G237" s="2"/>
      <c r="H237" s="2"/>
      <c r="I237" s="2"/>
    </row>
    <row r="238" spans="2:9">
      <c r="B238" s="3"/>
      <c r="C238" s="3"/>
      <c r="D238" s="3"/>
      <c r="E238" s="3"/>
      <c r="F238" s="2"/>
      <c r="G238" s="2"/>
      <c r="H238" s="2"/>
      <c r="I238" s="2"/>
    </row>
    <row r="239" spans="2:9">
      <c r="B239" s="3"/>
      <c r="C239" s="3"/>
      <c r="D239" s="3"/>
      <c r="E239" s="3"/>
      <c r="F239" s="2"/>
      <c r="G239" s="2"/>
      <c r="H239" s="2"/>
      <c r="I239" s="2"/>
    </row>
    <row r="240" spans="2:9">
      <c r="B240" s="3"/>
      <c r="C240" s="3"/>
      <c r="D240" s="3"/>
      <c r="E240" s="3"/>
      <c r="F240" s="2"/>
      <c r="G240" s="2"/>
      <c r="H240" s="2"/>
      <c r="I240" s="2"/>
    </row>
    <row r="241" spans="2:9">
      <c r="B241" s="3"/>
      <c r="C241" s="3"/>
      <c r="D241" s="3"/>
      <c r="E241" s="3"/>
      <c r="F241" s="2"/>
      <c r="G241" s="2"/>
      <c r="H241" s="2"/>
      <c r="I241" s="2"/>
    </row>
    <row r="242" spans="2:9">
      <c r="B242" s="3"/>
      <c r="C242" s="3"/>
      <c r="D242" s="3"/>
      <c r="E242" s="3"/>
      <c r="F242" s="2"/>
      <c r="G242" s="2"/>
      <c r="H242" s="2"/>
      <c r="I242" s="2"/>
    </row>
    <row r="243" spans="2:9">
      <c r="B243" s="3"/>
      <c r="C243" s="3"/>
      <c r="D243" s="3"/>
      <c r="E243" s="3"/>
      <c r="F243" s="2"/>
      <c r="G243" s="2"/>
      <c r="H243" s="2"/>
      <c r="I243" s="2"/>
    </row>
    <row r="244" spans="2:9">
      <c r="B244" s="3"/>
      <c r="C244" s="3"/>
      <c r="D244" s="3"/>
      <c r="E244" s="3"/>
      <c r="F244" s="2"/>
      <c r="G244" s="2"/>
      <c r="H244" s="2"/>
      <c r="I244" s="2"/>
    </row>
    <row r="245" spans="2:9">
      <c r="B245" s="3"/>
      <c r="C245" s="3"/>
      <c r="D245" s="3"/>
      <c r="E245" s="3"/>
      <c r="F245" s="2"/>
      <c r="G245" s="2"/>
      <c r="H245" s="2"/>
      <c r="I245" s="2"/>
    </row>
    <row r="246" spans="2:9">
      <c r="B246" s="3"/>
      <c r="C246" s="3"/>
      <c r="D246" s="3"/>
      <c r="E246" s="3"/>
      <c r="F246" s="2"/>
      <c r="G246" s="2"/>
      <c r="H246" s="2"/>
      <c r="I246" s="2"/>
    </row>
    <row r="247" spans="2:9">
      <c r="B247" s="3"/>
      <c r="C247" s="3"/>
      <c r="D247" s="3"/>
      <c r="E247" s="3"/>
      <c r="F247" s="2"/>
      <c r="G247" s="2"/>
      <c r="H247" s="2"/>
      <c r="I247" s="2"/>
    </row>
    <row r="248" spans="2:9">
      <c r="B248" s="3"/>
      <c r="C248" s="3"/>
      <c r="D248" s="3"/>
      <c r="E248" s="3"/>
      <c r="F248" s="2"/>
      <c r="G248" s="2"/>
      <c r="H248" s="2"/>
      <c r="I248" s="2"/>
    </row>
    <row r="249" spans="2:9">
      <c r="B249" s="3"/>
      <c r="C249" s="3"/>
      <c r="D249" s="3"/>
      <c r="E249" s="3"/>
      <c r="F249" s="2"/>
      <c r="G249" s="2"/>
      <c r="H249" s="2"/>
      <c r="I249" s="2"/>
    </row>
    <row r="250" spans="2:9">
      <c r="B250" s="3"/>
      <c r="C250" s="3"/>
      <c r="D250" s="3"/>
      <c r="E250" s="3"/>
      <c r="F250" s="2"/>
      <c r="G250" s="2"/>
      <c r="H250" s="2"/>
      <c r="I250" s="2"/>
    </row>
    <row r="251" spans="2:9">
      <c r="B251" s="3"/>
      <c r="C251" s="3"/>
      <c r="D251" s="3"/>
      <c r="E251" s="3"/>
      <c r="F251" s="2"/>
      <c r="G251" s="2"/>
      <c r="H251" s="2"/>
      <c r="I251" s="2"/>
    </row>
    <row r="252" spans="2:9">
      <c r="B252" s="3"/>
      <c r="C252" s="3"/>
      <c r="D252" s="3"/>
      <c r="E252" s="3"/>
      <c r="F252" s="2"/>
      <c r="G252" s="2"/>
      <c r="H252" s="2"/>
      <c r="I252" s="2"/>
    </row>
    <row r="253" spans="2:9">
      <c r="B253" s="3"/>
      <c r="C253" s="3"/>
      <c r="D253" s="3"/>
      <c r="E253" s="3"/>
      <c r="F253" s="2"/>
      <c r="G253" s="2"/>
      <c r="H253" s="2"/>
      <c r="I253" s="2"/>
    </row>
    <row r="254" spans="2:9">
      <c r="B254" s="3"/>
      <c r="C254" s="3"/>
      <c r="D254" s="3"/>
      <c r="E254" s="3"/>
      <c r="F254" s="2"/>
      <c r="G254" s="2"/>
      <c r="H254" s="2"/>
      <c r="I254" s="2"/>
    </row>
    <row r="255" spans="2:9">
      <c r="B255" s="3"/>
      <c r="C255" s="3"/>
      <c r="D255" s="3"/>
      <c r="E255" s="3"/>
      <c r="F255" s="2"/>
      <c r="G255" s="2"/>
      <c r="H255" s="2"/>
      <c r="I255" s="2"/>
    </row>
  </sheetData>
  <mergeCells count="4">
    <mergeCell ref="G4:G6"/>
    <mergeCell ref="H4:H6"/>
    <mergeCell ref="F4:F6"/>
    <mergeCell ref="I4:I6"/>
  </mergeCells>
  <printOptions horizontalCentered="1"/>
  <pageMargins left="0.78740157480314965" right="0.78740157480314965" top="0.78740157480314965" bottom="0.78740157480314965" header="0.39370078740157483" footer="0.39370078740157483"/>
  <pageSetup paperSize="9" scale="94" firstPageNumber="56" orientation="portrait" useFirstPageNumber="1" r:id="rId1"/>
  <headerFooter>
    <oddHeader>&amp;C&amp;"+,Tučné"II. Rozpis rozpočtu</oddHeader>
    <oddFooter>&amp;C&amp;"-,Obyčejné" 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1:I251"/>
  <sheetViews>
    <sheetView zoomScaleNormal="100" workbookViewId="0">
      <selection activeCell="L29" sqref="L29"/>
    </sheetView>
  </sheetViews>
  <sheetFormatPr defaultRowHeight="15"/>
  <cols>
    <col min="1" max="1" width="4" style="551" customWidth="1"/>
    <col min="2" max="4" width="5.7109375" style="431" customWidth="1"/>
    <col min="5" max="5" width="36.7109375" style="431" customWidth="1"/>
    <col min="6" max="6" width="9.85546875" style="580" customWidth="1"/>
    <col min="7" max="7" width="9.85546875" style="580" hidden="1" customWidth="1"/>
    <col min="8" max="9" width="9.85546875" style="580" customWidth="1"/>
    <col min="10" max="16384" width="9.140625" style="431"/>
  </cols>
  <sheetData>
    <row r="1" spans="1:9">
      <c r="A1" s="532"/>
      <c r="B1" s="533"/>
      <c r="C1" s="533"/>
      <c r="D1" s="533"/>
      <c r="E1" s="533"/>
      <c r="F1" s="562"/>
      <c r="G1" s="562"/>
      <c r="H1" s="562"/>
      <c r="I1" s="562"/>
    </row>
    <row r="2" spans="1:9">
      <c r="A2" s="532"/>
      <c r="B2" s="533"/>
      <c r="C2" s="533"/>
      <c r="D2" s="533"/>
      <c r="E2" s="533"/>
      <c r="F2" s="562"/>
      <c r="G2" s="562"/>
      <c r="H2" s="562"/>
      <c r="I2" s="562"/>
    </row>
    <row r="3" spans="1:9" ht="15.75" thickBot="1">
      <c r="A3" s="532"/>
      <c r="B3" s="533"/>
      <c r="C3" s="533"/>
      <c r="D3" s="533"/>
      <c r="E3" s="533"/>
      <c r="F3" s="562"/>
      <c r="G3" s="562"/>
      <c r="H3" s="562"/>
      <c r="I3" s="562"/>
    </row>
    <row r="4" spans="1:9" ht="15.75" customHeight="1" thickTop="1">
      <c r="A4" s="532"/>
      <c r="B4" s="534"/>
      <c r="C4" s="411"/>
      <c r="D4" s="535"/>
      <c r="E4" s="412"/>
      <c r="F4" s="1962" t="s">
        <v>44</v>
      </c>
      <c r="G4" s="1962" t="s">
        <v>43</v>
      </c>
      <c r="H4" s="1962" t="s">
        <v>1487</v>
      </c>
      <c r="I4" s="1971" t="s">
        <v>1488</v>
      </c>
    </row>
    <row r="5" spans="1:9">
      <c r="A5" s="532" t="s">
        <v>120</v>
      </c>
      <c r="B5" s="536" t="s">
        <v>42</v>
      </c>
      <c r="C5" s="414" t="s">
        <v>41</v>
      </c>
      <c r="D5" s="537" t="s">
        <v>40</v>
      </c>
      <c r="E5" s="415"/>
      <c r="F5" s="1963"/>
      <c r="G5" s="1963"/>
      <c r="H5" s="1963"/>
      <c r="I5" s="1972"/>
    </row>
    <row r="6" spans="1:9" ht="15.75" thickBot="1">
      <c r="A6" s="532"/>
      <c r="B6" s="538"/>
      <c r="C6" s="417"/>
      <c r="D6" s="539"/>
      <c r="E6" s="418" t="s">
        <v>38</v>
      </c>
      <c r="F6" s="1964"/>
      <c r="G6" s="1964"/>
      <c r="H6" s="1964"/>
      <c r="I6" s="1973"/>
    </row>
    <row r="7" spans="1:9" ht="16.5" thickTop="1" thickBot="1">
      <c r="A7" s="532"/>
      <c r="B7" s="563">
        <v>6171</v>
      </c>
      <c r="C7" s="564">
        <v>5901</v>
      </c>
      <c r="D7" s="564">
        <v>1710</v>
      </c>
      <c r="E7" s="565" t="s">
        <v>813</v>
      </c>
      <c r="F7" s="726">
        <v>0</v>
      </c>
      <c r="G7" s="726">
        <f>30-30</f>
        <v>0</v>
      </c>
      <c r="H7" s="726">
        <v>0</v>
      </c>
      <c r="I7" s="1483">
        <v>0</v>
      </c>
    </row>
    <row r="8" spans="1:9" ht="15.75" thickBot="1">
      <c r="A8" s="532"/>
      <c r="B8" s="566">
        <v>6171</v>
      </c>
      <c r="C8" s="567">
        <v>5137</v>
      </c>
      <c r="D8" s="567">
        <v>1710</v>
      </c>
      <c r="E8" s="568" t="s">
        <v>814</v>
      </c>
      <c r="F8" s="569">
        <v>0</v>
      </c>
      <c r="G8" s="569">
        <v>2.9039999999999999</v>
      </c>
      <c r="H8" s="569">
        <v>0</v>
      </c>
      <c r="I8" s="1484">
        <v>0</v>
      </c>
    </row>
    <row r="9" spans="1:9" ht="15.75" thickBot="1">
      <c r="A9" s="532"/>
      <c r="B9" s="566">
        <v>6171</v>
      </c>
      <c r="C9" s="567">
        <v>5139</v>
      </c>
      <c r="D9" s="567">
        <v>1710</v>
      </c>
      <c r="E9" s="568" t="s">
        <v>815</v>
      </c>
      <c r="F9" s="569">
        <v>0</v>
      </c>
      <c r="G9" s="569">
        <v>3.5785</v>
      </c>
      <c r="H9" s="569">
        <v>0</v>
      </c>
      <c r="I9" s="1484">
        <v>0</v>
      </c>
    </row>
    <row r="10" spans="1:9" ht="15.75" thickBot="1">
      <c r="A10" s="532"/>
      <c r="B10" s="566">
        <v>6171</v>
      </c>
      <c r="C10" s="567">
        <v>5151</v>
      </c>
      <c r="D10" s="567">
        <v>1710</v>
      </c>
      <c r="E10" s="568" t="s">
        <v>816</v>
      </c>
      <c r="F10" s="569">
        <v>0</v>
      </c>
      <c r="G10" s="569">
        <v>0.69199999999999995</v>
      </c>
      <c r="H10" s="569">
        <v>0</v>
      </c>
      <c r="I10" s="1484">
        <v>0</v>
      </c>
    </row>
    <row r="11" spans="1:9" ht="15.75" thickBot="1">
      <c r="A11" s="532"/>
      <c r="B11" s="566">
        <v>6171</v>
      </c>
      <c r="C11" s="567">
        <v>5152</v>
      </c>
      <c r="D11" s="567">
        <v>1710</v>
      </c>
      <c r="E11" s="568" t="s">
        <v>613</v>
      </c>
      <c r="F11" s="569">
        <v>0</v>
      </c>
      <c r="G11" s="569">
        <v>7.0780000000000003</v>
      </c>
      <c r="H11" s="569">
        <v>0</v>
      </c>
      <c r="I11" s="1484">
        <v>0</v>
      </c>
    </row>
    <row r="12" spans="1:9" ht="15.75" thickBot="1">
      <c r="A12" s="532"/>
      <c r="B12" s="566">
        <v>6171</v>
      </c>
      <c r="C12" s="567">
        <v>5154</v>
      </c>
      <c r="D12" s="567">
        <v>1710</v>
      </c>
      <c r="E12" s="568" t="s">
        <v>817</v>
      </c>
      <c r="F12" s="569">
        <v>0</v>
      </c>
      <c r="G12" s="569">
        <v>4.7119999999999997</v>
      </c>
      <c r="H12" s="569">
        <v>0</v>
      </c>
      <c r="I12" s="1484">
        <v>0</v>
      </c>
    </row>
    <row r="13" spans="1:9" ht="15.75" thickBot="1">
      <c r="A13" s="532"/>
      <c r="B13" s="566">
        <v>6171</v>
      </c>
      <c r="C13" s="567">
        <v>5169</v>
      </c>
      <c r="D13" s="567">
        <v>1710</v>
      </c>
      <c r="E13" s="570" t="s">
        <v>818</v>
      </c>
      <c r="F13" s="571">
        <v>0</v>
      </c>
      <c r="G13" s="571">
        <f>30+11.0355</f>
        <v>41.035499999999999</v>
      </c>
      <c r="H13" s="571">
        <v>0</v>
      </c>
      <c r="I13" s="1485">
        <v>0</v>
      </c>
    </row>
    <row r="14" spans="1:9" ht="15.75" thickBot="1">
      <c r="A14" s="572">
        <v>501</v>
      </c>
      <c r="B14" s="1983" t="s">
        <v>819</v>
      </c>
      <c r="C14" s="1981"/>
      <c r="D14" s="1981"/>
      <c r="E14" s="1982"/>
      <c r="F14" s="55">
        <f>SUM(F7:F13)</f>
        <v>0</v>
      </c>
      <c r="G14" s="55">
        <f>SUM(G7:G13)</f>
        <v>60</v>
      </c>
      <c r="H14" s="55">
        <f>SUM(H7:H13)</f>
        <v>0</v>
      </c>
      <c r="I14" s="1362">
        <f>SUM(I7:I13)</f>
        <v>0</v>
      </c>
    </row>
    <row r="15" spans="1:9" s="578" customFormat="1" ht="6" customHeight="1" thickTop="1" thickBot="1">
      <c r="A15" s="573"/>
      <c r="B15" s="574"/>
      <c r="C15" s="574"/>
      <c r="D15" s="575"/>
      <c r="E15" s="576"/>
      <c r="F15" s="577"/>
      <c r="G15" s="577"/>
      <c r="H15" s="577"/>
      <c r="I15" s="577"/>
    </row>
    <row r="16" spans="1:9" ht="16.5" thickTop="1" thickBot="1">
      <c r="E16" s="427" t="s">
        <v>30</v>
      </c>
      <c r="F16" s="579">
        <f>SUM(F14:F14)</f>
        <v>0</v>
      </c>
      <c r="G16" s="579">
        <f>SUM(G14:G14)</f>
        <v>60</v>
      </c>
      <c r="H16" s="579">
        <f>SUM(H14:H14)</f>
        <v>0</v>
      </c>
      <c r="I16" s="429">
        <f>SUM(I14:I14)</f>
        <v>0</v>
      </c>
    </row>
    <row r="17" spans="1:9" ht="7.5" customHeight="1" thickTop="1" thickBot="1">
      <c r="A17" s="572"/>
    </row>
    <row r="18" spans="1:9" s="582" customFormat="1" ht="16.5" thickTop="1" thickBot="1">
      <c r="A18" s="572"/>
      <c r="B18" s="581"/>
      <c r="C18" s="435"/>
      <c r="D18" s="435"/>
      <c r="E18" s="435" t="s">
        <v>820</v>
      </c>
      <c r="F18" s="436">
        <f>SUM(F16)</f>
        <v>0</v>
      </c>
      <c r="G18" s="436">
        <f>SUM(G16)</f>
        <v>60</v>
      </c>
      <c r="H18" s="436">
        <f>SUM(H16)</f>
        <v>0</v>
      </c>
      <c r="I18" s="1442">
        <f>SUM(I16)</f>
        <v>0</v>
      </c>
    </row>
    <row r="19" spans="1:9" ht="15.75" thickTop="1">
      <c r="B19" s="533"/>
      <c r="C19" s="533"/>
      <c r="D19" s="533"/>
      <c r="E19" s="533"/>
      <c r="F19" s="562"/>
      <c r="G19" s="562"/>
      <c r="H19" s="562"/>
      <c r="I19" s="562"/>
    </row>
    <row r="20" spans="1:9">
      <c r="B20" s="533"/>
      <c r="C20" s="533"/>
      <c r="D20" s="533"/>
      <c r="E20" s="533"/>
      <c r="F20" s="562"/>
      <c r="G20" s="562"/>
      <c r="H20" s="562"/>
      <c r="I20" s="562"/>
    </row>
    <row r="21" spans="1:9">
      <c r="B21" s="533"/>
      <c r="C21" s="533"/>
      <c r="D21" s="533"/>
      <c r="E21" s="533"/>
      <c r="F21" s="562"/>
      <c r="G21" s="562"/>
      <c r="H21" s="562"/>
      <c r="I21" s="562"/>
    </row>
    <row r="22" spans="1:9">
      <c r="B22" s="533"/>
      <c r="C22" s="533"/>
      <c r="D22" s="533"/>
      <c r="E22" s="533"/>
      <c r="F22" s="562"/>
      <c r="G22" s="562"/>
      <c r="H22" s="562"/>
      <c r="I22" s="562"/>
    </row>
    <row r="23" spans="1:9">
      <c r="B23" s="533"/>
      <c r="C23" s="533"/>
      <c r="D23" s="533"/>
      <c r="E23" s="533"/>
      <c r="F23" s="562"/>
      <c r="G23" s="562"/>
      <c r="H23" s="562"/>
      <c r="I23" s="562"/>
    </row>
    <row r="24" spans="1:9">
      <c r="B24" s="533"/>
      <c r="C24" s="533"/>
      <c r="D24" s="533"/>
      <c r="E24" s="533"/>
      <c r="F24" s="562"/>
      <c r="G24" s="562"/>
      <c r="H24" s="562"/>
      <c r="I24" s="562"/>
    </row>
    <row r="25" spans="1:9">
      <c r="B25" s="533"/>
      <c r="C25" s="533"/>
      <c r="D25" s="533"/>
      <c r="E25" s="533"/>
      <c r="F25" s="562"/>
      <c r="G25" s="562"/>
      <c r="H25" s="562"/>
      <c r="I25" s="562"/>
    </row>
    <row r="26" spans="1:9">
      <c r="B26" s="533"/>
      <c r="C26" s="533"/>
      <c r="D26" s="533"/>
      <c r="E26" s="533"/>
      <c r="F26" s="562"/>
      <c r="G26" s="562"/>
      <c r="H26" s="562"/>
      <c r="I26" s="562"/>
    </row>
    <row r="27" spans="1:9">
      <c r="B27" s="533"/>
      <c r="C27" s="533"/>
      <c r="D27" s="533"/>
      <c r="E27" s="533"/>
      <c r="F27" s="562"/>
      <c r="G27" s="562"/>
      <c r="H27" s="562"/>
      <c r="I27" s="562"/>
    </row>
    <row r="28" spans="1:9">
      <c r="B28" s="533"/>
      <c r="C28" s="533"/>
      <c r="D28" s="533"/>
      <c r="E28" s="533"/>
      <c r="F28" s="562"/>
      <c r="G28" s="562"/>
      <c r="H28" s="562"/>
      <c r="I28" s="562"/>
    </row>
    <row r="29" spans="1:9">
      <c r="B29" s="533"/>
      <c r="C29" s="533"/>
      <c r="D29" s="533"/>
      <c r="E29" s="533"/>
      <c r="F29" s="562"/>
      <c r="G29" s="562"/>
      <c r="H29" s="562"/>
      <c r="I29" s="562"/>
    </row>
    <row r="30" spans="1:9">
      <c r="B30" s="533"/>
      <c r="C30" s="533"/>
      <c r="D30" s="533"/>
      <c r="E30" s="533"/>
      <c r="F30" s="562"/>
      <c r="G30" s="562"/>
      <c r="H30" s="562"/>
      <c r="I30" s="562"/>
    </row>
    <row r="31" spans="1:9">
      <c r="B31" s="533"/>
      <c r="C31" s="533"/>
      <c r="D31" s="533"/>
      <c r="E31" s="533"/>
      <c r="F31" s="562"/>
      <c r="G31" s="562"/>
      <c r="H31" s="562"/>
      <c r="I31" s="562"/>
    </row>
    <row r="32" spans="1:9">
      <c r="B32" s="533"/>
      <c r="C32" s="533"/>
      <c r="D32" s="533"/>
      <c r="E32" s="533"/>
      <c r="F32" s="562"/>
      <c r="G32" s="562"/>
      <c r="H32" s="562"/>
      <c r="I32" s="562"/>
    </row>
    <row r="33" spans="2:9">
      <c r="B33" s="533"/>
      <c r="C33" s="533"/>
      <c r="D33" s="533"/>
      <c r="E33" s="533"/>
      <c r="F33" s="562"/>
      <c r="G33" s="562"/>
      <c r="H33" s="562"/>
      <c r="I33" s="562"/>
    </row>
    <row r="34" spans="2:9">
      <c r="B34" s="533"/>
      <c r="C34" s="533"/>
      <c r="D34" s="533"/>
      <c r="E34" s="533"/>
      <c r="F34" s="562"/>
      <c r="G34" s="562"/>
      <c r="H34" s="562"/>
      <c r="I34" s="562"/>
    </row>
    <row r="35" spans="2:9">
      <c r="B35" s="533"/>
      <c r="C35" s="533"/>
      <c r="D35" s="533"/>
      <c r="E35" s="533"/>
      <c r="F35" s="562"/>
      <c r="G35" s="562"/>
      <c r="H35" s="562"/>
      <c r="I35" s="562"/>
    </row>
    <row r="36" spans="2:9">
      <c r="B36" s="533"/>
      <c r="C36" s="533"/>
      <c r="D36" s="533"/>
      <c r="E36" s="533"/>
      <c r="F36" s="562"/>
      <c r="G36" s="562"/>
      <c r="H36" s="562"/>
      <c r="I36" s="562"/>
    </row>
    <row r="37" spans="2:9">
      <c r="B37" s="533"/>
      <c r="C37" s="533"/>
      <c r="D37" s="533"/>
      <c r="E37" s="533"/>
      <c r="F37" s="562"/>
      <c r="G37" s="562"/>
      <c r="H37" s="562"/>
      <c r="I37" s="562"/>
    </row>
    <row r="38" spans="2:9">
      <c r="B38" s="533"/>
      <c r="C38" s="533"/>
      <c r="D38" s="533"/>
      <c r="E38" s="533"/>
      <c r="F38" s="562"/>
      <c r="G38" s="562"/>
      <c r="H38" s="562"/>
      <c r="I38" s="562"/>
    </row>
    <row r="39" spans="2:9">
      <c r="B39" s="533"/>
      <c r="C39" s="533"/>
      <c r="D39" s="533"/>
      <c r="E39" s="533"/>
      <c r="F39" s="562"/>
      <c r="G39" s="562"/>
      <c r="H39" s="562"/>
      <c r="I39" s="562"/>
    </row>
    <row r="40" spans="2:9">
      <c r="B40" s="533"/>
      <c r="C40" s="533"/>
      <c r="D40" s="533"/>
      <c r="E40" s="533"/>
      <c r="F40" s="562"/>
      <c r="G40" s="562"/>
      <c r="H40" s="562"/>
      <c r="I40" s="562"/>
    </row>
    <row r="41" spans="2:9">
      <c r="B41" s="533"/>
      <c r="C41" s="533"/>
      <c r="D41" s="533"/>
      <c r="E41" s="533"/>
      <c r="F41" s="562"/>
      <c r="G41" s="562"/>
      <c r="H41" s="562"/>
      <c r="I41" s="562"/>
    </row>
    <row r="42" spans="2:9">
      <c r="B42" s="533"/>
      <c r="C42" s="533"/>
      <c r="D42" s="533"/>
      <c r="E42" s="533"/>
      <c r="F42" s="562"/>
      <c r="G42" s="562"/>
      <c r="H42" s="562"/>
      <c r="I42" s="562"/>
    </row>
    <row r="43" spans="2:9">
      <c r="B43" s="533"/>
      <c r="C43" s="533"/>
      <c r="D43" s="533"/>
      <c r="E43" s="533"/>
      <c r="F43" s="562"/>
      <c r="G43" s="562"/>
      <c r="H43" s="562"/>
      <c r="I43" s="562"/>
    </row>
    <row r="44" spans="2:9">
      <c r="B44" s="533"/>
      <c r="C44" s="533"/>
      <c r="D44" s="533"/>
      <c r="E44" s="533"/>
      <c r="F44" s="562"/>
      <c r="G44" s="562"/>
      <c r="H44" s="562"/>
      <c r="I44" s="562"/>
    </row>
    <row r="45" spans="2:9">
      <c r="B45" s="533"/>
      <c r="C45" s="533"/>
      <c r="D45" s="533"/>
      <c r="E45" s="533"/>
      <c r="F45" s="562"/>
      <c r="G45" s="562"/>
      <c r="H45" s="562"/>
      <c r="I45" s="562"/>
    </row>
    <row r="46" spans="2:9">
      <c r="B46" s="533"/>
      <c r="C46" s="533"/>
      <c r="D46" s="533"/>
      <c r="E46" s="533"/>
      <c r="F46" s="562"/>
      <c r="G46" s="562"/>
      <c r="H46" s="562"/>
      <c r="I46" s="562"/>
    </row>
    <row r="47" spans="2:9">
      <c r="B47" s="533"/>
      <c r="C47" s="533"/>
      <c r="D47" s="533"/>
      <c r="E47" s="533"/>
      <c r="F47" s="562"/>
      <c r="G47" s="562"/>
      <c r="H47" s="562"/>
      <c r="I47" s="562"/>
    </row>
    <row r="48" spans="2:9">
      <c r="B48" s="533"/>
      <c r="C48" s="533"/>
      <c r="D48" s="533"/>
      <c r="E48" s="533"/>
      <c r="F48" s="562"/>
      <c r="G48" s="562"/>
      <c r="H48" s="562"/>
      <c r="I48" s="562"/>
    </row>
    <row r="49" spans="2:9">
      <c r="B49" s="533"/>
      <c r="C49" s="533"/>
      <c r="D49" s="533"/>
      <c r="E49" s="533"/>
      <c r="F49" s="562"/>
      <c r="G49" s="562"/>
      <c r="H49" s="562"/>
      <c r="I49" s="562"/>
    </row>
    <row r="50" spans="2:9">
      <c r="B50" s="533"/>
      <c r="C50" s="533"/>
      <c r="D50" s="533"/>
      <c r="E50" s="533"/>
      <c r="F50" s="562"/>
      <c r="G50" s="562"/>
      <c r="H50" s="562"/>
      <c r="I50" s="562"/>
    </row>
    <row r="51" spans="2:9">
      <c r="B51" s="533"/>
      <c r="C51" s="533"/>
      <c r="D51" s="533"/>
      <c r="E51" s="533"/>
      <c r="F51" s="562"/>
      <c r="G51" s="562"/>
      <c r="H51" s="562"/>
      <c r="I51" s="562"/>
    </row>
    <row r="52" spans="2:9">
      <c r="B52" s="533"/>
      <c r="C52" s="533"/>
      <c r="D52" s="533"/>
      <c r="E52" s="533"/>
      <c r="F52" s="562"/>
      <c r="G52" s="562"/>
      <c r="H52" s="562"/>
      <c r="I52" s="562"/>
    </row>
    <row r="53" spans="2:9">
      <c r="B53" s="533"/>
      <c r="C53" s="533"/>
      <c r="D53" s="533"/>
      <c r="E53" s="533"/>
      <c r="F53" s="562"/>
      <c r="G53" s="562"/>
      <c r="H53" s="562"/>
      <c r="I53" s="562"/>
    </row>
    <row r="54" spans="2:9">
      <c r="B54" s="533"/>
      <c r="C54" s="533"/>
      <c r="D54" s="533"/>
      <c r="E54" s="533"/>
      <c r="F54" s="562"/>
      <c r="G54" s="562"/>
      <c r="H54" s="562"/>
      <c r="I54" s="562"/>
    </row>
    <row r="55" spans="2:9">
      <c r="B55" s="533"/>
      <c r="C55" s="533"/>
      <c r="D55" s="533"/>
      <c r="E55" s="533"/>
      <c r="F55" s="562"/>
      <c r="G55" s="562"/>
      <c r="H55" s="562"/>
      <c r="I55" s="562"/>
    </row>
    <row r="56" spans="2:9">
      <c r="B56" s="533"/>
      <c r="C56" s="533"/>
      <c r="D56" s="533"/>
      <c r="E56" s="533"/>
      <c r="F56" s="562"/>
      <c r="G56" s="562"/>
      <c r="H56" s="562"/>
      <c r="I56" s="562"/>
    </row>
    <row r="57" spans="2:9">
      <c r="B57" s="533"/>
      <c r="C57" s="533"/>
      <c r="D57" s="533"/>
      <c r="E57" s="533"/>
      <c r="F57" s="562"/>
      <c r="G57" s="562"/>
      <c r="H57" s="562"/>
      <c r="I57" s="562"/>
    </row>
    <row r="58" spans="2:9">
      <c r="B58" s="533"/>
      <c r="C58" s="533"/>
      <c r="D58" s="533"/>
      <c r="E58" s="533"/>
      <c r="F58" s="562"/>
      <c r="G58" s="562"/>
      <c r="H58" s="562"/>
      <c r="I58" s="562"/>
    </row>
    <row r="59" spans="2:9">
      <c r="B59" s="533"/>
      <c r="C59" s="533"/>
      <c r="D59" s="533"/>
      <c r="E59" s="533"/>
      <c r="F59" s="562"/>
      <c r="G59" s="562"/>
      <c r="H59" s="562"/>
      <c r="I59" s="562"/>
    </row>
    <row r="60" spans="2:9">
      <c r="B60" s="533"/>
      <c r="C60" s="533"/>
      <c r="D60" s="533"/>
      <c r="E60" s="533"/>
      <c r="F60" s="562"/>
      <c r="G60" s="562"/>
      <c r="H60" s="562"/>
      <c r="I60" s="562"/>
    </row>
    <row r="61" spans="2:9">
      <c r="B61" s="533"/>
      <c r="C61" s="533"/>
      <c r="D61" s="533"/>
      <c r="E61" s="533"/>
      <c r="F61" s="562"/>
      <c r="G61" s="562"/>
      <c r="H61" s="562"/>
      <c r="I61" s="562"/>
    </row>
    <row r="62" spans="2:9">
      <c r="B62" s="533"/>
      <c r="C62" s="533"/>
      <c r="D62" s="533"/>
      <c r="E62" s="533"/>
      <c r="F62" s="562"/>
      <c r="G62" s="562"/>
      <c r="H62" s="562"/>
      <c r="I62" s="562"/>
    </row>
    <row r="63" spans="2:9">
      <c r="B63" s="533"/>
      <c r="C63" s="533"/>
      <c r="D63" s="533"/>
      <c r="E63" s="533"/>
      <c r="F63" s="562"/>
      <c r="G63" s="562"/>
      <c r="H63" s="562"/>
      <c r="I63" s="562"/>
    </row>
    <row r="64" spans="2:9">
      <c r="B64" s="533"/>
      <c r="C64" s="533"/>
      <c r="D64" s="533"/>
      <c r="E64" s="533"/>
      <c r="F64" s="562"/>
      <c r="G64" s="562"/>
      <c r="H64" s="562"/>
      <c r="I64" s="562"/>
    </row>
    <row r="65" spans="2:9">
      <c r="B65" s="533"/>
      <c r="C65" s="533"/>
      <c r="D65" s="533"/>
      <c r="E65" s="533"/>
      <c r="F65" s="562"/>
      <c r="G65" s="562"/>
      <c r="H65" s="562"/>
      <c r="I65" s="562"/>
    </row>
    <row r="66" spans="2:9">
      <c r="B66" s="533"/>
      <c r="C66" s="533"/>
      <c r="D66" s="533"/>
      <c r="E66" s="533"/>
      <c r="F66" s="562"/>
      <c r="G66" s="562"/>
      <c r="H66" s="562"/>
      <c r="I66" s="562"/>
    </row>
    <row r="67" spans="2:9">
      <c r="B67" s="533"/>
      <c r="C67" s="533"/>
      <c r="D67" s="533"/>
      <c r="E67" s="533"/>
      <c r="F67" s="562"/>
      <c r="G67" s="562"/>
      <c r="H67" s="562"/>
      <c r="I67" s="562"/>
    </row>
    <row r="68" spans="2:9">
      <c r="B68" s="533"/>
      <c r="C68" s="533"/>
      <c r="D68" s="533"/>
      <c r="E68" s="533"/>
      <c r="F68" s="562"/>
      <c r="G68" s="562"/>
      <c r="H68" s="562"/>
      <c r="I68" s="562"/>
    </row>
    <row r="69" spans="2:9">
      <c r="B69" s="533"/>
      <c r="C69" s="533"/>
      <c r="D69" s="533"/>
      <c r="E69" s="533"/>
      <c r="F69" s="562"/>
      <c r="G69" s="562"/>
      <c r="H69" s="562"/>
      <c r="I69" s="562"/>
    </row>
    <row r="70" spans="2:9">
      <c r="B70" s="533"/>
      <c r="C70" s="533"/>
      <c r="D70" s="533"/>
      <c r="E70" s="533"/>
      <c r="F70" s="562"/>
      <c r="G70" s="562"/>
      <c r="H70" s="562"/>
      <c r="I70" s="562"/>
    </row>
    <row r="71" spans="2:9">
      <c r="B71" s="533"/>
      <c r="C71" s="533"/>
      <c r="D71" s="533"/>
      <c r="E71" s="533"/>
      <c r="F71" s="562"/>
      <c r="G71" s="562"/>
      <c r="H71" s="562"/>
      <c r="I71" s="562"/>
    </row>
    <row r="72" spans="2:9">
      <c r="B72" s="533"/>
      <c r="C72" s="533"/>
      <c r="D72" s="533"/>
      <c r="E72" s="533"/>
      <c r="F72" s="562"/>
      <c r="G72" s="562"/>
      <c r="H72" s="562"/>
      <c r="I72" s="562"/>
    </row>
    <row r="73" spans="2:9">
      <c r="B73" s="533"/>
      <c r="C73" s="533"/>
      <c r="D73" s="533"/>
      <c r="E73" s="533"/>
      <c r="F73" s="562"/>
      <c r="G73" s="562"/>
      <c r="H73" s="562"/>
      <c r="I73" s="562"/>
    </row>
    <row r="74" spans="2:9">
      <c r="B74" s="533"/>
      <c r="C74" s="533"/>
      <c r="D74" s="533"/>
      <c r="E74" s="533"/>
      <c r="F74" s="562"/>
      <c r="G74" s="562"/>
      <c r="H74" s="562"/>
      <c r="I74" s="562"/>
    </row>
    <row r="75" spans="2:9">
      <c r="B75" s="533"/>
      <c r="C75" s="533"/>
      <c r="D75" s="533"/>
      <c r="E75" s="533"/>
      <c r="F75" s="562"/>
      <c r="G75" s="562"/>
      <c r="H75" s="562"/>
      <c r="I75" s="562"/>
    </row>
    <row r="76" spans="2:9">
      <c r="B76" s="533"/>
      <c r="C76" s="533"/>
      <c r="D76" s="533"/>
      <c r="E76" s="533"/>
      <c r="F76" s="562"/>
      <c r="G76" s="562"/>
      <c r="H76" s="562"/>
      <c r="I76" s="562"/>
    </row>
    <row r="77" spans="2:9">
      <c r="B77" s="533"/>
      <c r="C77" s="533"/>
      <c r="D77" s="533"/>
      <c r="E77" s="533"/>
      <c r="F77" s="562"/>
      <c r="G77" s="562"/>
      <c r="H77" s="562"/>
      <c r="I77" s="562"/>
    </row>
    <row r="78" spans="2:9">
      <c r="B78" s="533"/>
      <c r="C78" s="533"/>
      <c r="D78" s="533"/>
      <c r="E78" s="533"/>
      <c r="F78" s="562"/>
      <c r="G78" s="562"/>
      <c r="H78" s="562"/>
      <c r="I78" s="562"/>
    </row>
    <row r="79" spans="2:9">
      <c r="B79" s="533"/>
      <c r="C79" s="533"/>
      <c r="D79" s="533"/>
      <c r="E79" s="533"/>
      <c r="F79" s="562"/>
      <c r="G79" s="562"/>
      <c r="H79" s="562"/>
      <c r="I79" s="562"/>
    </row>
    <row r="80" spans="2:9">
      <c r="B80" s="533"/>
      <c r="C80" s="533"/>
      <c r="D80" s="533"/>
      <c r="E80" s="533"/>
      <c r="F80" s="562"/>
      <c r="G80" s="562"/>
      <c r="H80" s="562"/>
      <c r="I80" s="562"/>
    </row>
    <row r="81" spans="2:9">
      <c r="B81" s="533"/>
      <c r="C81" s="533"/>
      <c r="D81" s="533"/>
      <c r="E81" s="533"/>
      <c r="F81" s="562"/>
      <c r="G81" s="562"/>
      <c r="H81" s="562"/>
      <c r="I81" s="562"/>
    </row>
    <row r="82" spans="2:9">
      <c r="B82" s="533"/>
      <c r="C82" s="533"/>
      <c r="D82" s="533"/>
      <c r="E82" s="533"/>
      <c r="F82" s="562"/>
      <c r="G82" s="562"/>
      <c r="H82" s="562"/>
      <c r="I82" s="562"/>
    </row>
    <row r="83" spans="2:9">
      <c r="B83" s="533"/>
      <c r="C83" s="533"/>
      <c r="D83" s="533"/>
      <c r="E83" s="533"/>
      <c r="F83" s="562"/>
      <c r="G83" s="562"/>
      <c r="H83" s="562"/>
      <c r="I83" s="562"/>
    </row>
    <row r="84" spans="2:9">
      <c r="B84" s="533"/>
      <c r="C84" s="533"/>
      <c r="D84" s="533"/>
      <c r="E84" s="533"/>
      <c r="F84" s="562"/>
      <c r="G84" s="562"/>
      <c r="H84" s="562"/>
      <c r="I84" s="562"/>
    </row>
    <row r="85" spans="2:9">
      <c r="B85" s="533"/>
      <c r="C85" s="533"/>
      <c r="D85" s="533"/>
      <c r="E85" s="533"/>
      <c r="F85" s="562"/>
      <c r="G85" s="562"/>
      <c r="H85" s="562"/>
      <c r="I85" s="562"/>
    </row>
    <row r="86" spans="2:9">
      <c r="B86" s="533"/>
      <c r="C86" s="533"/>
      <c r="D86" s="533"/>
      <c r="E86" s="533"/>
      <c r="F86" s="562"/>
      <c r="G86" s="562"/>
      <c r="H86" s="562"/>
      <c r="I86" s="562"/>
    </row>
    <row r="87" spans="2:9">
      <c r="B87" s="533"/>
      <c r="C87" s="533"/>
      <c r="D87" s="533"/>
      <c r="E87" s="533"/>
      <c r="F87" s="562"/>
      <c r="G87" s="562"/>
      <c r="H87" s="562"/>
      <c r="I87" s="562"/>
    </row>
    <row r="88" spans="2:9">
      <c r="B88" s="533"/>
      <c r="C88" s="533"/>
      <c r="D88" s="533"/>
      <c r="E88" s="533"/>
      <c r="F88" s="562"/>
      <c r="G88" s="562"/>
      <c r="H88" s="562"/>
      <c r="I88" s="562"/>
    </row>
    <row r="89" spans="2:9">
      <c r="B89" s="533"/>
      <c r="C89" s="533"/>
      <c r="D89" s="533"/>
      <c r="E89" s="533"/>
      <c r="F89" s="562"/>
      <c r="G89" s="562"/>
      <c r="H89" s="562"/>
      <c r="I89" s="562"/>
    </row>
    <row r="90" spans="2:9">
      <c r="B90" s="533"/>
      <c r="C90" s="533"/>
      <c r="D90" s="533"/>
      <c r="E90" s="533"/>
      <c r="F90" s="562"/>
      <c r="G90" s="562"/>
      <c r="H90" s="562"/>
      <c r="I90" s="562"/>
    </row>
    <row r="91" spans="2:9">
      <c r="B91" s="533"/>
      <c r="C91" s="533"/>
      <c r="D91" s="533"/>
      <c r="E91" s="533"/>
      <c r="F91" s="562"/>
      <c r="G91" s="562"/>
      <c r="H91" s="562"/>
      <c r="I91" s="562"/>
    </row>
    <row r="92" spans="2:9">
      <c r="B92" s="533"/>
      <c r="C92" s="533"/>
      <c r="D92" s="533"/>
      <c r="E92" s="533"/>
      <c r="F92" s="562"/>
      <c r="G92" s="562"/>
      <c r="H92" s="562"/>
      <c r="I92" s="562"/>
    </row>
    <row r="93" spans="2:9">
      <c r="B93" s="533"/>
      <c r="C93" s="533"/>
      <c r="D93" s="533"/>
      <c r="E93" s="533"/>
      <c r="F93" s="562"/>
      <c r="G93" s="562"/>
      <c r="H93" s="562"/>
      <c r="I93" s="562"/>
    </row>
    <row r="94" spans="2:9">
      <c r="B94" s="533"/>
      <c r="C94" s="533"/>
      <c r="D94" s="533"/>
      <c r="E94" s="533"/>
      <c r="F94" s="562"/>
      <c r="G94" s="562"/>
      <c r="H94" s="562"/>
      <c r="I94" s="562"/>
    </row>
    <row r="95" spans="2:9">
      <c r="B95" s="533"/>
      <c r="C95" s="533"/>
      <c r="D95" s="533"/>
      <c r="E95" s="533"/>
      <c r="F95" s="562"/>
      <c r="G95" s="562"/>
      <c r="H95" s="562"/>
      <c r="I95" s="562"/>
    </row>
    <row r="96" spans="2:9">
      <c r="B96" s="533"/>
      <c r="C96" s="533"/>
      <c r="D96" s="533"/>
      <c r="E96" s="533"/>
      <c r="F96" s="562"/>
      <c r="G96" s="562"/>
      <c r="H96" s="562"/>
      <c r="I96" s="562"/>
    </row>
    <row r="97" spans="2:9">
      <c r="B97" s="533"/>
      <c r="C97" s="533"/>
      <c r="D97" s="533"/>
      <c r="E97" s="533"/>
      <c r="F97" s="562"/>
      <c r="G97" s="562"/>
      <c r="H97" s="562"/>
      <c r="I97" s="562"/>
    </row>
    <row r="98" spans="2:9">
      <c r="B98" s="533"/>
      <c r="C98" s="533"/>
      <c r="D98" s="533"/>
      <c r="E98" s="533"/>
      <c r="F98" s="562"/>
      <c r="G98" s="562"/>
      <c r="H98" s="562"/>
      <c r="I98" s="562"/>
    </row>
    <row r="99" spans="2:9">
      <c r="B99" s="533"/>
      <c r="C99" s="533"/>
      <c r="D99" s="533"/>
      <c r="E99" s="533"/>
      <c r="F99" s="562"/>
      <c r="G99" s="562"/>
      <c r="H99" s="562"/>
      <c r="I99" s="562"/>
    </row>
    <row r="100" spans="2:9">
      <c r="B100" s="533"/>
      <c r="C100" s="533"/>
      <c r="D100" s="533"/>
      <c r="E100" s="533"/>
      <c r="F100" s="562"/>
      <c r="G100" s="562"/>
      <c r="H100" s="562"/>
      <c r="I100" s="562"/>
    </row>
    <row r="101" spans="2:9">
      <c r="B101" s="533"/>
      <c r="C101" s="533"/>
      <c r="D101" s="533"/>
      <c r="E101" s="533"/>
      <c r="F101" s="562"/>
      <c r="G101" s="562"/>
      <c r="H101" s="562"/>
      <c r="I101" s="562"/>
    </row>
    <row r="102" spans="2:9">
      <c r="B102" s="533"/>
      <c r="C102" s="533"/>
      <c r="D102" s="533"/>
      <c r="E102" s="533"/>
      <c r="F102" s="562"/>
      <c r="G102" s="562"/>
      <c r="H102" s="562"/>
      <c r="I102" s="562"/>
    </row>
    <row r="103" spans="2:9">
      <c r="B103" s="533"/>
      <c r="C103" s="533"/>
      <c r="D103" s="533"/>
      <c r="E103" s="533"/>
      <c r="F103" s="562"/>
      <c r="G103" s="562"/>
      <c r="H103" s="562"/>
      <c r="I103" s="562"/>
    </row>
    <row r="104" spans="2:9">
      <c r="B104" s="533"/>
      <c r="C104" s="533"/>
      <c r="D104" s="533"/>
      <c r="E104" s="533"/>
      <c r="F104" s="562"/>
      <c r="G104" s="562"/>
      <c r="H104" s="562"/>
      <c r="I104" s="562"/>
    </row>
    <row r="105" spans="2:9">
      <c r="B105" s="533"/>
      <c r="C105" s="533"/>
      <c r="D105" s="533"/>
      <c r="E105" s="533"/>
      <c r="F105" s="562"/>
      <c r="G105" s="562"/>
      <c r="H105" s="562"/>
      <c r="I105" s="562"/>
    </row>
    <row r="106" spans="2:9">
      <c r="B106" s="533"/>
      <c r="C106" s="533"/>
      <c r="D106" s="533"/>
      <c r="E106" s="533"/>
      <c r="F106" s="562"/>
      <c r="G106" s="562"/>
      <c r="H106" s="562"/>
      <c r="I106" s="562"/>
    </row>
    <row r="107" spans="2:9">
      <c r="B107" s="533"/>
      <c r="C107" s="533"/>
      <c r="D107" s="533"/>
      <c r="E107" s="533"/>
      <c r="F107" s="562"/>
      <c r="G107" s="562"/>
      <c r="H107" s="562"/>
      <c r="I107" s="562"/>
    </row>
    <row r="108" spans="2:9">
      <c r="B108" s="533"/>
      <c r="C108" s="533"/>
      <c r="D108" s="533"/>
      <c r="E108" s="533"/>
      <c r="F108" s="562"/>
      <c r="G108" s="562"/>
      <c r="H108" s="562"/>
      <c r="I108" s="562"/>
    </row>
    <row r="109" spans="2:9">
      <c r="B109" s="533"/>
      <c r="C109" s="533"/>
      <c r="D109" s="533"/>
      <c r="E109" s="533"/>
      <c r="F109" s="562"/>
      <c r="G109" s="562"/>
      <c r="H109" s="562"/>
      <c r="I109" s="562"/>
    </row>
    <row r="110" spans="2:9">
      <c r="B110" s="533"/>
      <c r="C110" s="533"/>
      <c r="D110" s="533"/>
      <c r="E110" s="533"/>
      <c r="F110" s="562"/>
      <c r="G110" s="562"/>
      <c r="H110" s="562"/>
      <c r="I110" s="562"/>
    </row>
    <row r="111" spans="2:9">
      <c r="B111" s="533"/>
      <c r="C111" s="533"/>
      <c r="D111" s="533"/>
      <c r="E111" s="533"/>
      <c r="F111" s="562"/>
      <c r="G111" s="562"/>
      <c r="H111" s="562"/>
      <c r="I111" s="562"/>
    </row>
    <row r="112" spans="2:9">
      <c r="B112" s="533"/>
      <c r="C112" s="533"/>
      <c r="D112" s="533"/>
      <c r="E112" s="533"/>
      <c r="F112" s="562"/>
      <c r="G112" s="562"/>
      <c r="H112" s="562"/>
      <c r="I112" s="562"/>
    </row>
    <row r="113" spans="2:9">
      <c r="B113" s="533"/>
      <c r="C113" s="533"/>
      <c r="D113" s="533"/>
      <c r="E113" s="533"/>
      <c r="F113" s="562"/>
      <c r="G113" s="562"/>
      <c r="H113" s="562"/>
      <c r="I113" s="562"/>
    </row>
    <row r="114" spans="2:9">
      <c r="B114" s="533"/>
      <c r="C114" s="533"/>
      <c r="D114" s="533"/>
      <c r="E114" s="533"/>
      <c r="F114" s="562"/>
      <c r="G114" s="562"/>
      <c r="H114" s="562"/>
      <c r="I114" s="562"/>
    </row>
    <row r="115" spans="2:9">
      <c r="B115" s="533"/>
      <c r="C115" s="533"/>
      <c r="D115" s="533"/>
      <c r="E115" s="533"/>
      <c r="F115" s="562"/>
      <c r="G115" s="562"/>
      <c r="H115" s="562"/>
      <c r="I115" s="562"/>
    </row>
    <row r="116" spans="2:9">
      <c r="B116" s="533"/>
      <c r="C116" s="533"/>
      <c r="D116" s="533"/>
      <c r="E116" s="533"/>
      <c r="F116" s="562"/>
      <c r="G116" s="562"/>
      <c r="H116" s="562"/>
      <c r="I116" s="562"/>
    </row>
    <row r="117" spans="2:9">
      <c r="B117" s="533"/>
      <c r="C117" s="533"/>
      <c r="D117" s="533"/>
      <c r="E117" s="533"/>
      <c r="F117" s="562"/>
      <c r="G117" s="562"/>
      <c r="H117" s="562"/>
      <c r="I117" s="562"/>
    </row>
    <row r="118" spans="2:9">
      <c r="B118" s="533"/>
      <c r="C118" s="533"/>
      <c r="D118" s="533"/>
      <c r="E118" s="533"/>
      <c r="F118" s="562"/>
      <c r="G118" s="562"/>
      <c r="H118" s="562"/>
      <c r="I118" s="562"/>
    </row>
    <row r="119" spans="2:9">
      <c r="B119" s="533"/>
      <c r="C119" s="533"/>
      <c r="D119" s="533"/>
      <c r="E119" s="533"/>
      <c r="F119" s="562"/>
      <c r="G119" s="562"/>
      <c r="H119" s="562"/>
      <c r="I119" s="562"/>
    </row>
    <row r="120" spans="2:9">
      <c r="B120" s="533"/>
      <c r="C120" s="533"/>
      <c r="D120" s="533"/>
      <c r="E120" s="533"/>
      <c r="F120" s="562"/>
      <c r="G120" s="562"/>
      <c r="H120" s="562"/>
      <c r="I120" s="562"/>
    </row>
    <row r="121" spans="2:9">
      <c r="B121" s="533"/>
      <c r="C121" s="533"/>
      <c r="D121" s="533"/>
      <c r="E121" s="533"/>
      <c r="F121" s="562"/>
      <c r="G121" s="562"/>
      <c r="H121" s="562"/>
      <c r="I121" s="562"/>
    </row>
    <row r="122" spans="2:9">
      <c r="B122" s="533"/>
      <c r="C122" s="533"/>
      <c r="D122" s="533"/>
      <c r="E122" s="533"/>
      <c r="F122" s="562"/>
      <c r="G122" s="562"/>
      <c r="H122" s="562"/>
      <c r="I122" s="562"/>
    </row>
    <row r="123" spans="2:9">
      <c r="B123" s="533"/>
      <c r="C123" s="533"/>
      <c r="D123" s="533"/>
      <c r="E123" s="533"/>
      <c r="F123" s="562"/>
      <c r="G123" s="562"/>
      <c r="H123" s="562"/>
      <c r="I123" s="562"/>
    </row>
    <row r="124" spans="2:9">
      <c r="B124" s="533"/>
      <c r="C124" s="533"/>
      <c r="D124" s="533"/>
      <c r="E124" s="533"/>
      <c r="F124" s="562"/>
      <c r="G124" s="562"/>
      <c r="H124" s="562"/>
      <c r="I124" s="562"/>
    </row>
    <row r="125" spans="2:9">
      <c r="B125" s="533"/>
      <c r="C125" s="533"/>
      <c r="D125" s="533"/>
      <c r="E125" s="533"/>
      <c r="F125" s="562"/>
      <c r="G125" s="562"/>
      <c r="H125" s="562"/>
      <c r="I125" s="562"/>
    </row>
    <row r="126" spans="2:9">
      <c r="B126" s="533"/>
      <c r="C126" s="533"/>
      <c r="D126" s="533"/>
      <c r="E126" s="533"/>
      <c r="F126" s="562"/>
      <c r="G126" s="562"/>
      <c r="H126" s="562"/>
      <c r="I126" s="562"/>
    </row>
    <row r="127" spans="2:9">
      <c r="B127" s="533"/>
      <c r="C127" s="533"/>
      <c r="D127" s="533"/>
      <c r="E127" s="533"/>
      <c r="F127" s="562"/>
      <c r="G127" s="562"/>
      <c r="H127" s="562"/>
      <c r="I127" s="562"/>
    </row>
    <row r="128" spans="2:9">
      <c r="B128" s="533"/>
      <c r="C128" s="533"/>
      <c r="D128" s="533"/>
      <c r="E128" s="533"/>
      <c r="F128" s="562"/>
      <c r="G128" s="562"/>
      <c r="H128" s="562"/>
      <c r="I128" s="562"/>
    </row>
    <row r="129" spans="2:9">
      <c r="B129" s="533"/>
      <c r="C129" s="533"/>
      <c r="D129" s="533"/>
      <c r="E129" s="533"/>
      <c r="F129" s="562"/>
      <c r="G129" s="562"/>
      <c r="H129" s="562"/>
      <c r="I129" s="562"/>
    </row>
    <row r="130" spans="2:9">
      <c r="B130" s="533"/>
      <c r="C130" s="533"/>
      <c r="D130" s="533"/>
      <c r="E130" s="533"/>
      <c r="F130" s="562"/>
      <c r="G130" s="562"/>
      <c r="H130" s="562"/>
      <c r="I130" s="562"/>
    </row>
    <row r="131" spans="2:9">
      <c r="B131" s="533"/>
      <c r="C131" s="533"/>
      <c r="D131" s="533"/>
      <c r="E131" s="533"/>
      <c r="F131" s="562"/>
      <c r="G131" s="562"/>
      <c r="H131" s="562"/>
      <c r="I131" s="562"/>
    </row>
    <row r="132" spans="2:9">
      <c r="B132" s="533"/>
      <c r="C132" s="533"/>
      <c r="D132" s="533"/>
      <c r="E132" s="533"/>
      <c r="F132" s="562"/>
      <c r="G132" s="562"/>
      <c r="H132" s="562"/>
      <c r="I132" s="562"/>
    </row>
    <row r="133" spans="2:9">
      <c r="B133" s="533"/>
      <c r="C133" s="533"/>
      <c r="D133" s="533"/>
      <c r="E133" s="533"/>
      <c r="F133" s="562"/>
      <c r="G133" s="562"/>
      <c r="H133" s="562"/>
      <c r="I133" s="562"/>
    </row>
    <row r="134" spans="2:9">
      <c r="B134" s="533"/>
      <c r="C134" s="533"/>
      <c r="D134" s="533"/>
      <c r="E134" s="533"/>
      <c r="F134" s="562"/>
      <c r="G134" s="562"/>
      <c r="H134" s="562"/>
      <c r="I134" s="562"/>
    </row>
    <row r="135" spans="2:9">
      <c r="B135" s="533"/>
      <c r="C135" s="533"/>
      <c r="D135" s="533"/>
      <c r="E135" s="533"/>
      <c r="F135" s="562"/>
      <c r="G135" s="562"/>
      <c r="H135" s="562"/>
      <c r="I135" s="562"/>
    </row>
    <row r="136" spans="2:9">
      <c r="B136" s="533"/>
      <c r="C136" s="533"/>
      <c r="D136" s="533"/>
      <c r="E136" s="533"/>
      <c r="F136" s="562"/>
      <c r="G136" s="562"/>
      <c r="H136" s="562"/>
      <c r="I136" s="562"/>
    </row>
    <row r="137" spans="2:9">
      <c r="B137" s="533"/>
      <c r="C137" s="533"/>
      <c r="D137" s="533"/>
      <c r="E137" s="533"/>
      <c r="F137" s="562"/>
      <c r="G137" s="562"/>
      <c r="H137" s="562"/>
      <c r="I137" s="562"/>
    </row>
    <row r="138" spans="2:9">
      <c r="B138" s="533"/>
      <c r="C138" s="533"/>
      <c r="D138" s="533"/>
      <c r="E138" s="533"/>
      <c r="F138" s="562"/>
      <c r="G138" s="562"/>
      <c r="H138" s="562"/>
      <c r="I138" s="562"/>
    </row>
    <row r="139" spans="2:9">
      <c r="B139" s="533"/>
      <c r="C139" s="533"/>
      <c r="D139" s="533"/>
      <c r="E139" s="533"/>
      <c r="F139" s="562"/>
      <c r="G139" s="562"/>
      <c r="H139" s="562"/>
      <c r="I139" s="562"/>
    </row>
    <row r="140" spans="2:9">
      <c r="B140" s="533"/>
      <c r="C140" s="533"/>
      <c r="D140" s="533"/>
      <c r="E140" s="533"/>
      <c r="F140" s="562"/>
      <c r="G140" s="562"/>
      <c r="H140" s="562"/>
      <c r="I140" s="562"/>
    </row>
    <row r="141" spans="2:9">
      <c r="B141" s="533"/>
      <c r="C141" s="533"/>
      <c r="D141" s="533"/>
      <c r="E141" s="533"/>
      <c r="F141" s="562"/>
      <c r="G141" s="562"/>
      <c r="H141" s="562"/>
      <c r="I141" s="562"/>
    </row>
    <row r="142" spans="2:9">
      <c r="B142" s="533"/>
      <c r="C142" s="533"/>
      <c r="D142" s="533"/>
      <c r="E142" s="533"/>
      <c r="F142" s="562"/>
      <c r="G142" s="562"/>
      <c r="H142" s="562"/>
      <c r="I142" s="562"/>
    </row>
    <row r="143" spans="2:9">
      <c r="B143" s="533"/>
      <c r="C143" s="533"/>
      <c r="D143" s="533"/>
      <c r="E143" s="533"/>
      <c r="F143" s="562"/>
      <c r="G143" s="562"/>
      <c r="H143" s="562"/>
      <c r="I143" s="562"/>
    </row>
    <row r="144" spans="2:9">
      <c r="B144" s="533"/>
      <c r="C144" s="533"/>
      <c r="D144" s="533"/>
      <c r="E144" s="533"/>
      <c r="F144" s="562"/>
      <c r="G144" s="562"/>
      <c r="H144" s="562"/>
      <c r="I144" s="562"/>
    </row>
    <row r="145" spans="2:9">
      <c r="B145" s="533"/>
      <c r="C145" s="533"/>
      <c r="D145" s="533"/>
      <c r="E145" s="533"/>
      <c r="F145" s="562"/>
      <c r="G145" s="562"/>
      <c r="H145" s="562"/>
      <c r="I145" s="562"/>
    </row>
    <row r="146" spans="2:9">
      <c r="B146" s="533"/>
      <c r="C146" s="533"/>
      <c r="D146" s="533"/>
      <c r="E146" s="533"/>
      <c r="F146" s="562"/>
      <c r="G146" s="562"/>
      <c r="H146" s="562"/>
      <c r="I146" s="562"/>
    </row>
    <row r="147" spans="2:9">
      <c r="B147" s="533"/>
      <c r="C147" s="533"/>
      <c r="D147" s="533"/>
      <c r="E147" s="533"/>
      <c r="F147" s="562"/>
      <c r="G147" s="562"/>
      <c r="H147" s="562"/>
      <c r="I147" s="562"/>
    </row>
    <row r="148" spans="2:9">
      <c r="B148" s="533"/>
      <c r="C148" s="533"/>
      <c r="D148" s="533"/>
      <c r="E148" s="533"/>
      <c r="F148" s="562"/>
      <c r="G148" s="562"/>
      <c r="H148" s="562"/>
      <c r="I148" s="562"/>
    </row>
    <row r="149" spans="2:9">
      <c r="B149" s="533"/>
      <c r="C149" s="533"/>
      <c r="D149" s="533"/>
      <c r="E149" s="533"/>
      <c r="F149" s="562"/>
      <c r="G149" s="562"/>
      <c r="H149" s="562"/>
      <c r="I149" s="562"/>
    </row>
    <row r="150" spans="2:9">
      <c r="B150" s="533"/>
      <c r="C150" s="533"/>
      <c r="D150" s="533"/>
      <c r="E150" s="533"/>
      <c r="F150" s="562"/>
      <c r="G150" s="562"/>
      <c r="H150" s="562"/>
      <c r="I150" s="562"/>
    </row>
    <row r="151" spans="2:9">
      <c r="B151" s="533"/>
      <c r="C151" s="533"/>
      <c r="D151" s="533"/>
      <c r="E151" s="533"/>
      <c r="F151" s="562"/>
      <c r="G151" s="562"/>
      <c r="H151" s="562"/>
      <c r="I151" s="562"/>
    </row>
    <row r="152" spans="2:9">
      <c r="B152" s="533"/>
      <c r="C152" s="533"/>
      <c r="D152" s="533"/>
      <c r="E152" s="533"/>
      <c r="F152" s="562"/>
      <c r="G152" s="562"/>
      <c r="H152" s="562"/>
      <c r="I152" s="562"/>
    </row>
    <row r="153" spans="2:9">
      <c r="B153" s="533"/>
      <c r="C153" s="533"/>
      <c r="D153" s="533"/>
      <c r="E153" s="533"/>
      <c r="F153" s="562"/>
      <c r="G153" s="562"/>
      <c r="H153" s="562"/>
      <c r="I153" s="562"/>
    </row>
    <row r="154" spans="2:9">
      <c r="B154" s="533"/>
      <c r="C154" s="533"/>
      <c r="D154" s="533"/>
      <c r="E154" s="533"/>
      <c r="F154" s="562"/>
      <c r="G154" s="562"/>
      <c r="H154" s="562"/>
      <c r="I154" s="562"/>
    </row>
    <row r="155" spans="2:9">
      <c r="B155" s="533"/>
      <c r="C155" s="533"/>
      <c r="D155" s="533"/>
      <c r="E155" s="533"/>
      <c r="F155" s="562"/>
      <c r="G155" s="562"/>
      <c r="H155" s="562"/>
      <c r="I155" s="562"/>
    </row>
    <row r="156" spans="2:9">
      <c r="B156" s="533"/>
      <c r="C156" s="533"/>
      <c r="D156" s="533"/>
      <c r="E156" s="533"/>
      <c r="F156" s="562"/>
      <c r="G156" s="562"/>
      <c r="H156" s="562"/>
      <c r="I156" s="562"/>
    </row>
    <row r="157" spans="2:9">
      <c r="B157" s="533"/>
      <c r="C157" s="533"/>
      <c r="D157" s="533"/>
      <c r="E157" s="533"/>
      <c r="F157" s="562"/>
      <c r="G157" s="562"/>
      <c r="H157" s="562"/>
      <c r="I157" s="562"/>
    </row>
    <row r="158" spans="2:9">
      <c r="B158" s="533"/>
      <c r="C158" s="533"/>
      <c r="D158" s="533"/>
      <c r="E158" s="533"/>
      <c r="F158" s="562"/>
      <c r="G158" s="562"/>
      <c r="H158" s="562"/>
      <c r="I158" s="562"/>
    </row>
    <row r="159" spans="2:9">
      <c r="B159" s="533"/>
      <c r="C159" s="533"/>
      <c r="D159" s="533"/>
      <c r="E159" s="533"/>
      <c r="F159" s="562"/>
      <c r="G159" s="562"/>
      <c r="H159" s="562"/>
      <c r="I159" s="562"/>
    </row>
    <row r="160" spans="2:9">
      <c r="B160" s="533"/>
      <c r="C160" s="533"/>
      <c r="D160" s="533"/>
      <c r="E160" s="533"/>
      <c r="F160" s="562"/>
      <c r="G160" s="562"/>
      <c r="H160" s="562"/>
      <c r="I160" s="562"/>
    </row>
    <row r="161" spans="2:9">
      <c r="B161" s="533"/>
      <c r="C161" s="533"/>
      <c r="D161" s="533"/>
      <c r="E161" s="533"/>
      <c r="F161" s="562"/>
      <c r="G161" s="562"/>
      <c r="H161" s="562"/>
      <c r="I161" s="562"/>
    </row>
    <row r="162" spans="2:9">
      <c r="B162" s="533"/>
      <c r="C162" s="533"/>
      <c r="D162" s="533"/>
      <c r="E162" s="533"/>
      <c r="F162" s="562"/>
      <c r="G162" s="562"/>
      <c r="H162" s="562"/>
      <c r="I162" s="562"/>
    </row>
    <row r="163" spans="2:9">
      <c r="B163" s="533"/>
      <c r="C163" s="533"/>
      <c r="D163" s="533"/>
      <c r="E163" s="533"/>
      <c r="F163" s="562"/>
      <c r="G163" s="562"/>
      <c r="H163" s="562"/>
      <c r="I163" s="562"/>
    </row>
    <row r="164" spans="2:9">
      <c r="B164" s="533"/>
      <c r="C164" s="533"/>
      <c r="D164" s="533"/>
      <c r="E164" s="533"/>
      <c r="F164" s="562"/>
      <c r="G164" s="562"/>
      <c r="H164" s="562"/>
      <c r="I164" s="562"/>
    </row>
    <row r="165" spans="2:9">
      <c r="B165" s="533"/>
      <c r="C165" s="533"/>
      <c r="D165" s="533"/>
      <c r="E165" s="533"/>
      <c r="F165" s="562"/>
      <c r="G165" s="562"/>
      <c r="H165" s="562"/>
      <c r="I165" s="562"/>
    </row>
    <row r="166" spans="2:9">
      <c r="B166" s="533"/>
      <c r="C166" s="533"/>
      <c r="D166" s="533"/>
      <c r="E166" s="533"/>
      <c r="F166" s="562"/>
      <c r="G166" s="562"/>
      <c r="H166" s="562"/>
      <c r="I166" s="562"/>
    </row>
    <row r="167" spans="2:9">
      <c r="B167" s="533"/>
      <c r="C167" s="533"/>
      <c r="D167" s="533"/>
      <c r="E167" s="533"/>
      <c r="F167" s="562"/>
      <c r="G167" s="562"/>
      <c r="H167" s="562"/>
      <c r="I167" s="562"/>
    </row>
    <row r="168" spans="2:9">
      <c r="B168" s="533"/>
      <c r="C168" s="533"/>
      <c r="D168" s="533"/>
      <c r="E168" s="533"/>
      <c r="F168" s="562"/>
      <c r="G168" s="562"/>
      <c r="H168" s="562"/>
      <c r="I168" s="562"/>
    </row>
    <row r="169" spans="2:9">
      <c r="B169" s="533"/>
      <c r="C169" s="533"/>
      <c r="D169" s="533"/>
      <c r="E169" s="533"/>
      <c r="F169" s="562"/>
      <c r="G169" s="562"/>
      <c r="H169" s="562"/>
      <c r="I169" s="562"/>
    </row>
    <row r="170" spans="2:9">
      <c r="B170" s="533"/>
      <c r="C170" s="533"/>
      <c r="D170" s="533"/>
      <c r="E170" s="533"/>
      <c r="F170" s="562"/>
      <c r="G170" s="562"/>
      <c r="H170" s="562"/>
      <c r="I170" s="562"/>
    </row>
    <row r="171" spans="2:9">
      <c r="B171" s="533"/>
      <c r="C171" s="533"/>
      <c r="D171" s="533"/>
      <c r="E171" s="533"/>
      <c r="F171" s="562"/>
      <c r="G171" s="562"/>
      <c r="H171" s="562"/>
      <c r="I171" s="562"/>
    </row>
    <row r="172" spans="2:9">
      <c r="B172" s="533"/>
      <c r="C172" s="533"/>
      <c r="D172" s="533"/>
      <c r="E172" s="533"/>
      <c r="F172" s="562"/>
      <c r="G172" s="562"/>
      <c r="H172" s="562"/>
      <c r="I172" s="562"/>
    </row>
    <row r="173" spans="2:9">
      <c r="B173" s="533"/>
      <c r="C173" s="533"/>
      <c r="D173" s="533"/>
      <c r="E173" s="533"/>
      <c r="F173" s="562"/>
      <c r="G173" s="562"/>
      <c r="H173" s="562"/>
      <c r="I173" s="562"/>
    </row>
    <row r="174" spans="2:9">
      <c r="B174" s="533"/>
      <c r="C174" s="533"/>
      <c r="D174" s="533"/>
      <c r="E174" s="533"/>
      <c r="F174" s="562"/>
      <c r="G174" s="562"/>
      <c r="H174" s="562"/>
      <c r="I174" s="562"/>
    </row>
    <row r="175" spans="2:9">
      <c r="B175" s="533"/>
      <c r="C175" s="533"/>
      <c r="D175" s="533"/>
      <c r="E175" s="533"/>
      <c r="F175" s="562"/>
      <c r="G175" s="562"/>
      <c r="H175" s="562"/>
      <c r="I175" s="562"/>
    </row>
    <row r="176" spans="2:9">
      <c r="B176" s="533"/>
      <c r="C176" s="533"/>
      <c r="D176" s="533"/>
      <c r="E176" s="533"/>
      <c r="F176" s="562"/>
      <c r="G176" s="562"/>
      <c r="H176" s="562"/>
      <c r="I176" s="562"/>
    </row>
    <row r="177" spans="2:9">
      <c r="B177" s="533"/>
      <c r="C177" s="533"/>
      <c r="D177" s="533"/>
      <c r="E177" s="533"/>
      <c r="F177" s="562"/>
      <c r="G177" s="562"/>
      <c r="H177" s="562"/>
      <c r="I177" s="562"/>
    </row>
    <row r="178" spans="2:9">
      <c r="B178" s="533"/>
      <c r="C178" s="533"/>
      <c r="D178" s="533"/>
      <c r="E178" s="533"/>
      <c r="F178" s="562"/>
      <c r="G178" s="562"/>
      <c r="H178" s="562"/>
      <c r="I178" s="562"/>
    </row>
    <row r="179" spans="2:9">
      <c r="B179" s="533"/>
      <c r="C179" s="533"/>
      <c r="D179" s="533"/>
      <c r="E179" s="533"/>
      <c r="F179" s="562"/>
      <c r="G179" s="562"/>
      <c r="H179" s="562"/>
      <c r="I179" s="562"/>
    </row>
    <row r="180" spans="2:9">
      <c r="B180" s="533"/>
      <c r="C180" s="533"/>
      <c r="D180" s="533"/>
      <c r="E180" s="533"/>
      <c r="F180" s="562"/>
      <c r="G180" s="562"/>
      <c r="H180" s="562"/>
      <c r="I180" s="562"/>
    </row>
    <row r="181" spans="2:9">
      <c r="B181" s="533"/>
      <c r="C181" s="533"/>
      <c r="D181" s="533"/>
      <c r="E181" s="533"/>
      <c r="F181" s="562"/>
      <c r="G181" s="562"/>
      <c r="H181" s="562"/>
      <c r="I181" s="562"/>
    </row>
    <row r="182" spans="2:9">
      <c r="B182" s="533"/>
      <c r="C182" s="533"/>
      <c r="D182" s="533"/>
      <c r="E182" s="533"/>
      <c r="F182" s="562"/>
      <c r="G182" s="562"/>
      <c r="H182" s="562"/>
      <c r="I182" s="562"/>
    </row>
    <row r="183" spans="2:9">
      <c r="B183" s="533"/>
      <c r="C183" s="533"/>
      <c r="D183" s="533"/>
      <c r="E183" s="533"/>
      <c r="F183" s="562"/>
      <c r="G183" s="562"/>
      <c r="H183" s="562"/>
      <c r="I183" s="562"/>
    </row>
    <row r="184" spans="2:9">
      <c r="B184" s="533"/>
      <c r="C184" s="533"/>
      <c r="D184" s="533"/>
      <c r="E184" s="533"/>
      <c r="F184" s="562"/>
      <c r="G184" s="562"/>
      <c r="H184" s="562"/>
      <c r="I184" s="562"/>
    </row>
    <row r="185" spans="2:9">
      <c r="B185" s="533"/>
      <c r="C185" s="533"/>
      <c r="D185" s="533"/>
      <c r="E185" s="533"/>
      <c r="F185" s="562"/>
      <c r="G185" s="562"/>
      <c r="H185" s="562"/>
      <c r="I185" s="562"/>
    </row>
    <row r="186" spans="2:9">
      <c r="B186" s="533"/>
      <c r="C186" s="533"/>
      <c r="D186" s="533"/>
      <c r="E186" s="533"/>
      <c r="F186" s="562"/>
      <c r="G186" s="562"/>
      <c r="H186" s="562"/>
      <c r="I186" s="562"/>
    </row>
    <row r="187" spans="2:9">
      <c r="B187" s="533"/>
      <c r="C187" s="533"/>
      <c r="D187" s="533"/>
      <c r="E187" s="533"/>
      <c r="F187" s="562"/>
      <c r="G187" s="562"/>
      <c r="H187" s="562"/>
      <c r="I187" s="562"/>
    </row>
    <row r="188" spans="2:9">
      <c r="B188" s="533"/>
      <c r="C188" s="533"/>
      <c r="D188" s="533"/>
      <c r="E188" s="533"/>
      <c r="F188" s="562"/>
      <c r="G188" s="562"/>
      <c r="H188" s="562"/>
      <c r="I188" s="562"/>
    </row>
    <row r="189" spans="2:9">
      <c r="B189" s="533"/>
      <c r="C189" s="533"/>
      <c r="D189" s="533"/>
      <c r="E189" s="533"/>
      <c r="F189" s="562"/>
      <c r="G189" s="562"/>
      <c r="H189" s="562"/>
      <c r="I189" s="562"/>
    </row>
    <row r="190" spans="2:9">
      <c r="B190" s="533"/>
      <c r="C190" s="533"/>
      <c r="D190" s="533"/>
      <c r="E190" s="533"/>
      <c r="F190" s="562"/>
      <c r="G190" s="562"/>
      <c r="H190" s="562"/>
      <c r="I190" s="562"/>
    </row>
    <row r="191" spans="2:9">
      <c r="B191" s="533"/>
      <c r="C191" s="533"/>
      <c r="D191" s="533"/>
      <c r="E191" s="533"/>
      <c r="F191" s="562"/>
      <c r="G191" s="562"/>
      <c r="H191" s="562"/>
      <c r="I191" s="562"/>
    </row>
    <row r="192" spans="2:9">
      <c r="B192" s="533"/>
      <c r="C192" s="533"/>
      <c r="D192" s="533"/>
      <c r="E192" s="533"/>
      <c r="F192" s="562"/>
      <c r="G192" s="562"/>
      <c r="H192" s="562"/>
      <c r="I192" s="562"/>
    </row>
    <row r="193" spans="2:9">
      <c r="B193" s="533"/>
      <c r="C193" s="533"/>
      <c r="D193" s="533"/>
      <c r="E193" s="533"/>
      <c r="F193" s="562"/>
      <c r="G193" s="562"/>
      <c r="H193" s="562"/>
      <c r="I193" s="562"/>
    </row>
    <row r="194" spans="2:9">
      <c r="B194" s="533"/>
      <c r="C194" s="533"/>
      <c r="D194" s="533"/>
      <c r="E194" s="533"/>
      <c r="F194" s="562"/>
      <c r="G194" s="562"/>
      <c r="H194" s="562"/>
      <c r="I194" s="562"/>
    </row>
    <row r="195" spans="2:9">
      <c r="B195" s="533"/>
      <c r="C195" s="533"/>
      <c r="D195" s="533"/>
      <c r="E195" s="533"/>
      <c r="F195" s="562"/>
      <c r="G195" s="562"/>
      <c r="H195" s="562"/>
      <c r="I195" s="562"/>
    </row>
    <row r="196" spans="2:9">
      <c r="B196" s="533"/>
      <c r="C196" s="533"/>
      <c r="D196" s="533"/>
      <c r="E196" s="533"/>
      <c r="F196" s="562"/>
      <c r="G196" s="562"/>
      <c r="H196" s="562"/>
      <c r="I196" s="562"/>
    </row>
    <row r="197" spans="2:9">
      <c r="B197" s="533"/>
      <c r="C197" s="533"/>
      <c r="D197" s="533"/>
      <c r="E197" s="533"/>
      <c r="F197" s="562"/>
      <c r="G197" s="562"/>
      <c r="H197" s="562"/>
      <c r="I197" s="562"/>
    </row>
    <row r="198" spans="2:9">
      <c r="B198" s="533"/>
      <c r="C198" s="533"/>
      <c r="D198" s="533"/>
      <c r="E198" s="533"/>
      <c r="F198" s="562"/>
      <c r="G198" s="562"/>
      <c r="H198" s="562"/>
      <c r="I198" s="562"/>
    </row>
    <row r="199" spans="2:9">
      <c r="B199" s="533"/>
      <c r="C199" s="533"/>
      <c r="D199" s="533"/>
      <c r="E199" s="533"/>
      <c r="F199" s="562"/>
      <c r="G199" s="562"/>
      <c r="H199" s="562"/>
      <c r="I199" s="562"/>
    </row>
    <row r="200" spans="2:9">
      <c r="B200" s="533"/>
      <c r="C200" s="533"/>
      <c r="D200" s="533"/>
      <c r="E200" s="533"/>
      <c r="F200" s="562"/>
      <c r="G200" s="562"/>
      <c r="H200" s="562"/>
      <c r="I200" s="562"/>
    </row>
    <row r="201" spans="2:9">
      <c r="B201" s="533"/>
      <c r="C201" s="533"/>
      <c r="D201" s="533"/>
      <c r="E201" s="533"/>
      <c r="F201" s="562"/>
      <c r="G201" s="562"/>
      <c r="H201" s="562"/>
      <c r="I201" s="562"/>
    </row>
    <row r="202" spans="2:9">
      <c r="B202" s="533"/>
      <c r="C202" s="533"/>
      <c r="D202" s="533"/>
      <c r="E202" s="533"/>
      <c r="F202" s="562"/>
      <c r="G202" s="562"/>
      <c r="H202" s="562"/>
      <c r="I202" s="562"/>
    </row>
    <row r="203" spans="2:9">
      <c r="B203" s="533"/>
      <c r="C203" s="533"/>
      <c r="D203" s="533"/>
      <c r="E203" s="533"/>
      <c r="F203" s="562"/>
      <c r="G203" s="562"/>
      <c r="H203" s="562"/>
      <c r="I203" s="562"/>
    </row>
    <row r="204" spans="2:9">
      <c r="B204" s="533"/>
      <c r="C204" s="533"/>
      <c r="D204" s="533"/>
      <c r="E204" s="533"/>
      <c r="F204" s="562"/>
      <c r="G204" s="562"/>
      <c r="H204" s="562"/>
      <c r="I204" s="562"/>
    </row>
    <row r="205" spans="2:9">
      <c r="B205" s="533"/>
      <c r="C205" s="533"/>
      <c r="D205" s="533"/>
      <c r="E205" s="533"/>
      <c r="F205" s="562"/>
      <c r="G205" s="562"/>
      <c r="H205" s="562"/>
      <c r="I205" s="562"/>
    </row>
    <row r="206" spans="2:9">
      <c r="B206" s="533"/>
      <c r="C206" s="533"/>
      <c r="D206" s="533"/>
      <c r="E206" s="533"/>
      <c r="F206" s="562"/>
      <c r="G206" s="562"/>
      <c r="H206" s="562"/>
      <c r="I206" s="562"/>
    </row>
    <row r="207" spans="2:9">
      <c r="B207" s="533"/>
      <c r="C207" s="533"/>
      <c r="D207" s="533"/>
      <c r="E207" s="533"/>
      <c r="F207" s="562"/>
      <c r="G207" s="562"/>
      <c r="H207" s="562"/>
      <c r="I207" s="562"/>
    </row>
    <row r="208" spans="2:9">
      <c r="B208" s="533"/>
      <c r="C208" s="533"/>
      <c r="D208" s="533"/>
      <c r="E208" s="533"/>
      <c r="F208" s="562"/>
      <c r="G208" s="562"/>
      <c r="H208" s="562"/>
      <c r="I208" s="562"/>
    </row>
    <row r="209" spans="2:9">
      <c r="B209" s="533"/>
      <c r="C209" s="533"/>
      <c r="D209" s="533"/>
      <c r="E209" s="533"/>
      <c r="F209" s="562"/>
      <c r="G209" s="562"/>
      <c r="H209" s="562"/>
      <c r="I209" s="562"/>
    </row>
    <row r="210" spans="2:9">
      <c r="B210" s="533"/>
      <c r="C210" s="533"/>
      <c r="D210" s="533"/>
      <c r="E210" s="533"/>
      <c r="F210" s="562"/>
      <c r="G210" s="562"/>
      <c r="H210" s="562"/>
      <c r="I210" s="562"/>
    </row>
    <row r="211" spans="2:9">
      <c r="B211" s="533"/>
      <c r="C211" s="533"/>
      <c r="D211" s="533"/>
      <c r="E211" s="533"/>
      <c r="F211" s="562"/>
      <c r="G211" s="562"/>
      <c r="H211" s="562"/>
      <c r="I211" s="562"/>
    </row>
    <row r="212" spans="2:9">
      <c r="B212" s="533"/>
      <c r="C212" s="533"/>
      <c r="D212" s="533"/>
      <c r="E212" s="533"/>
      <c r="F212" s="562"/>
      <c r="G212" s="562"/>
      <c r="H212" s="562"/>
      <c r="I212" s="562"/>
    </row>
    <row r="213" spans="2:9">
      <c r="B213" s="533"/>
      <c r="C213" s="533"/>
      <c r="D213" s="533"/>
      <c r="E213" s="533"/>
      <c r="F213" s="562"/>
      <c r="G213" s="562"/>
      <c r="H213" s="562"/>
      <c r="I213" s="562"/>
    </row>
    <row r="214" spans="2:9">
      <c r="B214" s="533"/>
      <c r="C214" s="533"/>
      <c r="D214" s="533"/>
      <c r="E214" s="533"/>
      <c r="F214" s="562"/>
      <c r="G214" s="562"/>
      <c r="H214" s="562"/>
      <c r="I214" s="562"/>
    </row>
    <row r="215" spans="2:9">
      <c r="B215" s="533"/>
      <c r="C215" s="533"/>
      <c r="D215" s="533"/>
      <c r="E215" s="533"/>
      <c r="F215" s="562"/>
      <c r="G215" s="562"/>
      <c r="H215" s="562"/>
      <c r="I215" s="562"/>
    </row>
    <row r="216" spans="2:9">
      <c r="B216" s="533"/>
      <c r="C216" s="533"/>
      <c r="D216" s="533"/>
      <c r="E216" s="533"/>
      <c r="F216" s="562"/>
      <c r="G216" s="562"/>
      <c r="H216" s="562"/>
      <c r="I216" s="562"/>
    </row>
    <row r="217" spans="2:9">
      <c r="B217" s="533"/>
      <c r="C217" s="533"/>
      <c r="D217" s="533"/>
      <c r="E217" s="533"/>
      <c r="F217" s="562"/>
      <c r="G217" s="562"/>
      <c r="H217" s="562"/>
      <c r="I217" s="562"/>
    </row>
    <row r="218" spans="2:9">
      <c r="B218" s="533"/>
      <c r="C218" s="533"/>
      <c r="D218" s="533"/>
      <c r="E218" s="533"/>
      <c r="F218" s="562"/>
      <c r="G218" s="562"/>
      <c r="H218" s="562"/>
      <c r="I218" s="562"/>
    </row>
    <row r="219" spans="2:9">
      <c r="B219" s="533"/>
      <c r="C219" s="533"/>
      <c r="D219" s="533"/>
      <c r="E219" s="533"/>
      <c r="F219" s="562"/>
      <c r="G219" s="562"/>
      <c r="H219" s="562"/>
      <c r="I219" s="562"/>
    </row>
    <row r="220" spans="2:9">
      <c r="B220" s="533"/>
      <c r="C220" s="533"/>
      <c r="D220" s="533"/>
      <c r="E220" s="533"/>
      <c r="F220" s="562"/>
      <c r="G220" s="562"/>
      <c r="H220" s="562"/>
      <c r="I220" s="562"/>
    </row>
    <row r="221" spans="2:9">
      <c r="B221" s="533"/>
      <c r="C221" s="533"/>
      <c r="D221" s="533"/>
      <c r="E221" s="533"/>
      <c r="F221" s="562"/>
      <c r="G221" s="562"/>
      <c r="H221" s="562"/>
      <c r="I221" s="562"/>
    </row>
    <row r="222" spans="2:9">
      <c r="B222" s="533"/>
      <c r="C222" s="533"/>
      <c r="D222" s="533"/>
      <c r="E222" s="533"/>
      <c r="F222" s="562"/>
      <c r="G222" s="562"/>
      <c r="H222" s="562"/>
      <c r="I222" s="562"/>
    </row>
    <row r="223" spans="2:9">
      <c r="B223" s="533"/>
      <c r="C223" s="533"/>
      <c r="D223" s="533"/>
      <c r="E223" s="533"/>
      <c r="F223" s="562"/>
      <c r="G223" s="562"/>
      <c r="H223" s="562"/>
      <c r="I223" s="562"/>
    </row>
    <row r="224" spans="2:9">
      <c r="B224" s="533"/>
      <c r="C224" s="533"/>
      <c r="D224" s="533"/>
      <c r="E224" s="533"/>
      <c r="F224" s="562"/>
      <c r="G224" s="562"/>
      <c r="H224" s="562"/>
      <c r="I224" s="562"/>
    </row>
    <row r="225" spans="2:9">
      <c r="B225" s="533"/>
      <c r="C225" s="533"/>
      <c r="D225" s="533"/>
      <c r="E225" s="533"/>
      <c r="F225" s="562"/>
      <c r="G225" s="562"/>
      <c r="H225" s="562"/>
      <c r="I225" s="562"/>
    </row>
    <row r="226" spans="2:9">
      <c r="B226" s="533"/>
      <c r="C226" s="533"/>
      <c r="D226" s="533"/>
      <c r="E226" s="533"/>
      <c r="F226" s="562"/>
      <c r="G226" s="562"/>
      <c r="H226" s="562"/>
      <c r="I226" s="562"/>
    </row>
    <row r="227" spans="2:9">
      <c r="B227" s="533"/>
      <c r="C227" s="533"/>
      <c r="D227" s="533"/>
      <c r="E227" s="533"/>
      <c r="F227" s="562"/>
      <c r="G227" s="562"/>
      <c r="H227" s="562"/>
      <c r="I227" s="562"/>
    </row>
    <row r="228" spans="2:9">
      <c r="B228" s="533"/>
      <c r="C228" s="533"/>
      <c r="D228" s="533"/>
      <c r="E228" s="533"/>
      <c r="F228" s="562"/>
      <c r="G228" s="562"/>
      <c r="H228" s="562"/>
      <c r="I228" s="562"/>
    </row>
    <row r="229" spans="2:9">
      <c r="B229" s="533"/>
      <c r="C229" s="533"/>
      <c r="D229" s="533"/>
      <c r="E229" s="533"/>
      <c r="F229" s="562"/>
      <c r="G229" s="562"/>
      <c r="H229" s="562"/>
      <c r="I229" s="562"/>
    </row>
    <row r="230" spans="2:9">
      <c r="B230" s="533"/>
      <c r="C230" s="533"/>
      <c r="D230" s="533"/>
      <c r="E230" s="533"/>
      <c r="F230" s="562"/>
      <c r="G230" s="562"/>
      <c r="H230" s="562"/>
      <c r="I230" s="562"/>
    </row>
    <row r="231" spans="2:9">
      <c r="B231" s="533"/>
      <c r="C231" s="533"/>
      <c r="D231" s="533"/>
      <c r="E231" s="533"/>
      <c r="F231" s="562"/>
      <c r="G231" s="562"/>
      <c r="H231" s="562"/>
      <c r="I231" s="562"/>
    </row>
    <row r="232" spans="2:9">
      <c r="B232" s="533"/>
      <c r="C232" s="533"/>
      <c r="D232" s="533"/>
      <c r="E232" s="533"/>
      <c r="F232" s="562"/>
      <c r="G232" s="562"/>
      <c r="H232" s="562"/>
      <c r="I232" s="562"/>
    </row>
    <row r="233" spans="2:9">
      <c r="B233" s="533"/>
      <c r="C233" s="533"/>
      <c r="D233" s="533"/>
      <c r="E233" s="533"/>
      <c r="F233" s="562"/>
      <c r="G233" s="562"/>
      <c r="H233" s="562"/>
      <c r="I233" s="562"/>
    </row>
    <row r="234" spans="2:9">
      <c r="B234" s="533"/>
      <c r="C234" s="533"/>
      <c r="D234" s="533"/>
      <c r="E234" s="533"/>
      <c r="F234" s="562"/>
      <c r="G234" s="562"/>
      <c r="H234" s="562"/>
      <c r="I234" s="562"/>
    </row>
    <row r="235" spans="2:9">
      <c r="B235" s="533"/>
      <c r="C235" s="533"/>
      <c r="D235" s="533"/>
      <c r="E235" s="533"/>
      <c r="F235" s="562"/>
      <c r="G235" s="562"/>
      <c r="H235" s="562"/>
      <c r="I235" s="562"/>
    </row>
    <row r="236" spans="2:9">
      <c r="B236" s="533"/>
      <c r="C236" s="533"/>
      <c r="D236" s="533"/>
      <c r="E236" s="533"/>
      <c r="F236" s="562"/>
      <c r="G236" s="562"/>
      <c r="H236" s="562"/>
      <c r="I236" s="562"/>
    </row>
    <row r="237" spans="2:9">
      <c r="B237" s="533"/>
      <c r="C237" s="533"/>
      <c r="D237" s="533"/>
      <c r="E237" s="533"/>
      <c r="F237" s="562"/>
      <c r="G237" s="562"/>
      <c r="H237" s="562"/>
      <c r="I237" s="562"/>
    </row>
    <row r="238" spans="2:9">
      <c r="B238" s="533"/>
      <c r="C238" s="533"/>
      <c r="D238" s="533"/>
      <c r="E238" s="533"/>
      <c r="F238" s="562"/>
      <c r="G238" s="562"/>
      <c r="H238" s="562"/>
      <c r="I238" s="562"/>
    </row>
    <row r="239" spans="2:9">
      <c r="B239" s="533"/>
      <c r="C239" s="533"/>
      <c r="D239" s="533"/>
      <c r="E239" s="533"/>
      <c r="F239" s="562"/>
      <c r="G239" s="562"/>
      <c r="H239" s="562"/>
      <c r="I239" s="562"/>
    </row>
    <row r="240" spans="2:9">
      <c r="B240" s="533"/>
      <c r="C240" s="533"/>
      <c r="D240" s="533"/>
      <c r="E240" s="533"/>
      <c r="F240" s="562"/>
      <c r="G240" s="562"/>
      <c r="H240" s="562"/>
      <c r="I240" s="562"/>
    </row>
    <row r="241" spans="2:9">
      <c r="B241" s="533"/>
      <c r="C241" s="533"/>
      <c r="D241" s="533"/>
      <c r="E241" s="533"/>
      <c r="F241" s="562"/>
      <c r="G241" s="562"/>
      <c r="H241" s="562"/>
      <c r="I241" s="562"/>
    </row>
    <row r="242" spans="2:9">
      <c r="B242" s="533"/>
      <c r="C242" s="533"/>
      <c r="D242" s="533"/>
      <c r="E242" s="533"/>
      <c r="F242" s="562"/>
      <c r="G242" s="562"/>
      <c r="H242" s="562"/>
      <c r="I242" s="562"/>
    </row>
    <row r="243" spans="2:9">
      <c r="B243" s="533"/>
      <c r="C243" s="533"/>
      <c r="D243" s="533"/>
      <c r="E243" s="533"/>
      <c r="F243" s="562"/>
      <c r="G243" s="562"/>
      <c r="H243" s="562"/>
      <c r="I243" s="562"/>
    </row>
    <row r="244" spans="2:9">
      <c r="B244" s="533"/>
      <c r="C244" s="533"/>
      <c r="D244" s="533"/>
      <c r="E244" s="533"/>
      <c r="F244" s="562"/>
      <c r="G244" s="562"/>
      <c r="H244" s="562"/>
      <c r="I244" s="562"/>
    </row>
    <row r="245" spans="2:9">
      <c r="B245" s="533"/>
      <c r="C245" s="533"/>
      <c r="D245" s="533"/>
      <c r="E245" s="533"/>
      <c r="F245" s="562"/>
      <c r="G245" s="562"/>
      <c r="H245" s="562"/>
      <c r="I245" s="562"/>
    </row>
    <row r="246" spans="2:9">
      <c r="B246" s="533"/>
      <c r="C246" s="533"/>
      <c r="D246" s="533"/>
      <c r="E246" s="533"/>
      <c r="F246" s="562"/>
      <c r="G246" s="562"/>
      <c r="H246" s="562"/>
      <c r="I246" s="562"/>
    </row>
    <row r="247" spans="2:9">
      <c r="B247" s="533"/>
      <c r="C247" s="533"/>
      <c r="D247" s="533"/>
      <c r="E247" s="533"/>
      <c r="F247" s="562"/>
      <c r="G247" s="562"/>
      <c r="H247" s="562"/>
      <c r="I247" s="562"/>
    </row>
    <row r="248" spans="2:9">
      <c r="B248" s="533"/>
      <c r="C248" s="533"/>
      <c r="D248" s="533"/>
      <c r="E248" s="533"/>
      <c r="F248" s="562"/>
      <c r="G248" s="562"/>
      <c r="H248" s="562"/>
      <c r="I248" s="562"/>
    </row>
    <row r="249" spans="2:9">
      <c r="B249" s="533"/>
      <c r="C249" s="533"/>
      <c r="D249" s="533"/>
      <c r="E249" s="533"/>
      <c r="F249" s="562"/>
      <c r="G249" s="562"/>
      <c r="H249" s="562"/>
      <c r="I249" s="562"/>
    </row>
    <row r="250" spans="2:9">
      <c r="B250" s="533"/>
      <c r="C250" s="533"/>
      <c r="D250" s="533"/>
      <c r="E250" s="533"/>
      <c r="F250" s="562"/>
      <c r="G250" s="562"/>
      <c r="H250" s="562"/>
      <c r="I250" s="562"/>
    </row>
    <row r="251" spans="2:9">
      <c r="B251" s="533"/>
      <c r="C251" s="533"/>
      <c r="D251" s="533"/>
      <c r="E251" s="533"/>
      <c r="F251" s="562"/>
      <c r="G251" s="562"/>
      <c r="H251" s="562"/>
      <c r="I251" s="562"/>
    </row>
  </sheetData>
  <mergeCells count="5">
    <mergeCell ref="G4:G6"/>
    <mergeCell ref="H4:H6"/>
    <mergeCell ref="F4:F6"/>
    <mergeCell ref="B14:E14"/>
    <mergeCell ref="I4:I6"/>
  </mergeCells>
  <printOptions horizontalCentered="1"/>
  <pageMargins left="0.78740157480314965" right="0.78740157480314965" top="0.78740157480314965" bottom="0.78740157480314965" header="0.31496062992125984" footer="0.70866141732283472"/>
  <pageSetup paperSize="9" scale="94" firstPageNumber="57" orientation="portrait" useFirstPageNumber="1" r:id="rId1"/>
  <headerFooter>
    <oddHeader>&amp;C&amp;"+,Tučné"II. Rozpis rozpočtu</oddHeader>
    <oddFooter>&amp;C&amp;"-,Obyčejné" 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A1:J88"/>
  <sheetViews>
    <sheetView zoomScaleNormal="100" workbookViewId="0">
      <selection activeCell="J54" sqref="J54"/>
    </sheetView>
  </sheetViews>
  <sheetFormatPr defaultRowHeight="15"/>
  <cols>
    <col min="1" max="1" width="4" style="4" customWidth="1"/>
    <col min="2" max="3" width="5.7109375" style="3" customWidth="1"/>
    <col min="4" max="4" width="5.7109375" style="160" customWidth="1"/>
    <col min="5" max="5" width="37.28515625" style="3" customWidth="1"/>
    <col min="6" max="6" width="9.85546875" style="2" customWidth="1"/>
    <col min="7" max="7" width="9.85546875" style="2" hidden="1" customWidth="1"/>
    <col min="8" max="9" width="9.85546875" style="2" customWidth="1"/>
    <col min="10" max="16384" width="9.140625" style="1"/>
  </cols>
  <sheetData>
    <row r="1" spans="1:9" ht="15.75" customHeight="1"/>
    <row r="2" spans="1:9" ht="15.75" customHeight="1"/>
    <row r="3" spans="1:9" ht="15.75" customHeight="1" thickBot="1"/>
    <row r="4" spans="1:9" ht="15.75" customHeight="1" thickTop="1">
      <c r="B4" s="41"/>
      <c r="C4" s="40"/>
      <c r="D4" s="39"/>
      <c r="E4" s="38"/>
      <c r="F4" s="1962" t="s">
        <v>44</v>
      </c>
      <c r="G4" s="1962" t="s">
        <v>43</v>
      </c>
      <c r="H4" s="1962" t="s">
        <v>1487</v>
      </c>
      <c r="I4" s="1971" t="s">
        <v>1488</v>
      </c>
    </row>
    <row r="5" spans="1:9" ht="15.75" customHeight="1">
      <c r="A5" s="4" t="s">
        <v>120</v>
      </c>
      <c r="B5" s="36" t="s">
        <v>42</v>
      </c>
      <c r="C5" s="35" t="s">
        <v>41</v>
      </c>
      <c r="D5" s="34" t="s">
        <v>40</v>
      </c>
      <c r="E5" s="33"/>
      <c r="F5" s="1963"/>
      <c r="G5" s="1963"/>
      <c r="H5" s="1963"/>
      <c r="I5" s="1972"/>
    </row>
    <row r="6" spans="1:9" ht="15.75" customHeight="1" thickBot="1">
      <c r="B6" s="31"/>
      <c r="C6" s="30"/>
      <c r="D6" s="29"/>
      <c r="E6" s="28" t="s">
        <v>38</v>
      </c>
      <c r="F6" s="1964"/>
      <c r="G6" s="1964"/>
      <c r="H6" s="1964"/>
      <c r="I6" s="1973"/>
    </row>
    <row r="7" spans="1:9" ht="15.75" customHeight="1" thickTop="1" thickBot="1">
      <c r="B7" s="87">
        <v>6171</v>
      </c>
      <c r="C7" s="86">
        <v>5041</v>
      </c>
      <c r="D7" s="85" t="s">
        <v>324</v>
      </c>
      <c r="E7" s="84" t="s">
        <v>821</v>
      </c>
      <c r="F7" s="81">
        <v>9</v>
      </c>
      <c r="G7" s="81">
        <f>9+1</f>
        <v>10</v>
      </c>
      <c r="H7" s="81">
        <v>11</v>
      </c>
      <c r="I7" s="1381">
        <v>11</v>
      </c>
    </row>
    <row r="8" spans="1:9" ht="15.75" customHeight="1" thickBot="1">
      <c r="B8" s="316">
        <v>6171</v>
      </c>
      <c r="C8" s="317">
        <v>5133</v>
      </c>
      <c r="D8" s="230" t="s">
        <v>324</v>
      </c>
      <c r="E8" s="318" t="s">
        <v>822</v>
      </c>
      <c r="F8" s="583">
        <v>1</v>
      </c>
      <c r="G8" s="583">
        <v>1</v>
      </c>
      <c r="H8" s="583">
        <v>1</v>
      </c>
      <c r="I8" s="1847">
        <v>1</v>
      </c>
    </row>
    <row r="9" spans="1:9" ht="15.75" customHeight="1" thickBot="1">
      <c r="B9" s="80">
        <v>6171</v>
      </c>
      <c r="C9" s="60">
        <v>5134</v>
      </c>
      <c r="D9" s="61" t="s">
        <v>324</v>
      </c>
      <c r="E9" s="59" t="s">
        <v>713</v>
      </c>
      <c r="F9" s="77">
        <v>10</v>
      </c>
      <c r="G9" s="77">
        <v>10</v>
      </c>
      <c r="H9" s="77">
        <v>15</v>
      </c>
      <c r="I9" s="1382">
        <v>15</v>
      </c>
    </row>
    <row r="10" spans="1:9" ht="15.75" customHeight="1" thickBot="1">
      <c r="B10" s="80">
        <v>6171</v>
      </c>
      <c r="C10" s="60">
        <v>5136</v>
      </c>
      <c r="D10" s="61" t="s">
        <v>324</v>
      </c>
      <c r="E10" s="59" t="s">
        <v>714</v>
      </c>
      <c r="F10" s="77">
        <v>300</v>
      </c>
      <c r="G10" s="77">
        <v>300</v>
      </c>
      <c r="H10" s="77">
        <v>300</v>
      </c>
      <c r="I10" s="1382">
        <v>300</v>
      </c>
    </row>
    <row r="11" spans="1:9" ht="15.75" customHeight="1" thickBot="1">
      <c r="B11" s="80">
        <v>6171</v>
      </c>
      <c r="C11" s="60">
        <v>5137</v>
      </c>
      <c r="D11" s="61" t="s">
        <v>324</v>
      </c>
      <c r="E11" s="59" t="s">
        <v>91</v>
      </c>
      <c r="F11" s="77">
        <v>400</v>
      </c>
      <c r="G11" s="77">
        <v>400</v>
      </c>
      <c r="H11" s="77">
        <v>300</v>
      </c>
      <c r="I11" s="1382">
        <v>300</v>
      </c>
    </row>
    <row r="12" spans="1:9" ht="15.75" customHeight="1" thickBot="1">
      <c r="B12" s="80">
        <v>6171</v>
      </c>
      <c r="C12" s="60">
        <v>5139</v>
      </c>
      <c r="D12" s="61" t="s">
        <v>324</v>
      </c>
      <c r="E12" s="59" t="s">
        <v>823</v>
      </c>
      <c r="F12" s="77">
        <v>800</v>
      </c>
      <c r="G12" s="77">
        <v>800</v>
      </c>
      <c r="H12" s="77">
        <f>900-130</f>
        <v>770</v>
      </c>
      <c r="I12" s="1382">
        <f>900-130</f>
        <v>770</v>
      </c>
    </row>
    <row r="13" spans="1:9" ht="15.75" customHeight="1" thickBot="1">
      <c r="B13" s="80">
        <v>6171</v>
      </c>
      <c r="C13" s="60">
        <v>5149</v>
      </c>
      <c r="D13" s="61" t="s">
        <v>324</v>
      </c>
      <c r="E13" s="59" t="s">
        <v>824</v>
      </c>
      <c r="F13" s="77">
        <v>1</v>
      </c>
      <c r="G13" s="77">
        <v>1</v>
      </c>
      <c r="H13" s="77">
        <v>1</v>
      </c>
      <c r="I13" s="1382">
        <v>1</v>
      </c>
    </row>
    <row r="14" spans="1:9" ht="15.75" customHeight="1" thickBot="1">
      <c r="B14" s="80">
        <v>6171</v>
      </c>
      <c r="C14" s="60">
        <v>5151</v>
      </c>
      <c r="D14" s="61" t="s">
        <v>324</v>
      </c>
      <c r="E14" s="59" t="s">
        <v>89</v>
      </c>
      <c r="F14" s="77">
        <v>300</v>
      </c>
      <c r="G14" s="77">
        <v>300</v>
      </c>
      <c r="H14" s="77">
        <v>300</v>
      </c>
      <c r="I14" s="1382">
        <v>300</v>
      </c>
    </row>
    <row r="15" spans="1:9" ht="15.75" customHeight="1" thickBot="1">
      <c r="B15" s="80">
        <v>6171</v>
      </c>
      <c r="C15" s="60">
        <v>5152</v>
      </c>
      <c r="D15" s="61" t="s">
        <v>324</v>
      </c>
      <c r="E15" s="59" t="s">
        <v>613</v>
      </c>
      <c r="F15" s="77">
        <v>1700</v>
      </c>
      <c r="G15" s="77">
        <v>1700</v>
      </c>
      <c r="H15" s="77">
        <v>1800</v>
      </c>
      <c r="I15" s="1382">
        <v>1800</v>
      </c>
    </row>
    <row r="16" spans="1:9" ht="15.75" customHeight="1" thickBot="1">
      <c r="B16" s="80">
        <v>6171</v>
      </c>
      <c r="C16" s="60">
        <v>5153</v>
      </c>
      <c r="D16" s="61" t="s">
        <v>324</v>
      </c>
      <c r="E16" s="59" t="s">
        <v>88</v>
      </c>
      <c r="F16" s="77">
        <v>100</v>
      </c>
      <c r="G16" s="77">
        <v>100</v>
      </c>
      <c r="H16" s="77">
        <v>100</v>
      </c>
      <c r="I16" s="1382">
        <v>100</v>
      </c>
    </row>
    <row r="17" spans="1:9" ht="15.75" customHeight="1" thickBot="1">
      <c r="B17" s="80">
        <v>6171</v>
      </c>
      <c r="C17" s="60">
        <v>5154</v>
      </c>
      <c r="D17" s="61" t="s">
        <v>324</v>
      </c>
      <c r="E17" s="59" t="s">
        <v>87</v>
      </c>
      <c r="F17" s="77">
        <v>1500</v>
      </c>
      <c r="G17" s="77">
        <v>1500</v>
      </c>
      <c r="H17" s="77">
        <v>1700</v>
      </c>
      <c r="I17" s="1382">
        <v>1700</v>
      </c>
    </row>
    <row r="18" spans="1:9" ht="15.75" customHeight="1" thickBot="1">
      <c r="B18" s="80">
        <v>6171</v>
      </c>
      <c r="C18" s="60">
        <v>5161</v>
      </c>
      <c r="D18" s="61" t="s">
        <v>324</v>
      </c>
      <c r="E18" s="59" t="s">
        <v>720</v>
      </c>
      <c r="F18" s="77">
        <v>950</v>
      </c>
      <c r="G18" s="77">
        <v>950</v>
      </c>
      <c r="H18" s="77">
        <v>900</v>
      </c>
      <c r="I18" s="1382">
        <v>900</v>
      </c>
    </row>
    <row r="19" spans="1:9" ht="15.75" customHeight="1" thickBot="1">
      <c r="B19" s="80">
        <v>6171</v>
      </c>
      <c r="C19" s="60">
        <v>5164</v>
      </c>
      <c r="D19" s="61" t="s">
        <v>324</v>
      </c>
      <c r="E19" s="59" t="s">
        <v>208</v>
      </c>
      <c r="F19" s="77">
        <v>295</v>
      </c>
      <c r="G19" s="77">
        <v>295</v>
      </c>
      <c r="H19" s="77">
        <v>320</v>
      </c>
      <c r="I19" s="1382">
        <v>320</v>
      </c>
    </row>
    <row r="20" spans="1:9" ht="15.75" customHeight="1" thickBot="1">
      <c r="B20" s="80">
        <v>6171</v>
      </c>
      <c r="C20" s="60">
        <v>5166</v>
      </c>
      <c r="D20" s="61" t="s">
        <v>324</v>
      </c>
      <c r="E20" s="59" t="s">
        <v>778</v>
      </c>
      <c r="F20" s="77">
        <v>2</v>
      </c>
      <c r="G20" s="77">
        <f>2+27</f>
        <v>29</v>
      </c>
      <c r="H20" s="77">
        <v>0</v>
      </c>
      <c r="I20" s="1382">
        <v>0</v>
      </c>
    </row>
    <row r="21" spans="1:9" ht="15.75" customHeight="1" thickBot="1">
      <c r="B21" s="80">
        <v>6171</v>
      </c>
      <c r="C21" s="60">
        <v>5169</v>
      </c>
      <c r="D21" s="61" t="s">
        <v>324</v>
      </c>
      <c r="E21" s="59" t="s">
        <v>211</v>
      </c>
      <c r="F21" s="77">
        <v>2200</v>
      </c>
      <c r="G21" s="77">
        <f>2200-1-27</f>
        <v>2172</v>
      </c>
      <c r="H21" s="77">
        <v>1900</v>
      </c>
      <c r="I21" s="1382">
        <v>1900</v>
      </c>
    </row>
    <row r="22" spans="1:9" ht="15.75" customHeight="1" thickBot="1">
      <c r="B22" s="80">
        <v>6171</v>
      </c>
      <c r="C22" s="60">
        <v>5171</v>
      </c>
      <c r="D22" s="61" t="s">
        <v>324</v>
      </c>
      <c r="E22" s="59" t="s">
        <v>53</v>
      </c>
      <c r="F22" s="77">
        <v>3100</v>
      </c>
      <c r="G22" s="77">
        <f>3100-10.45149-1.30599-11.92388-7.42962-4.65213-3.65787</f>
        <v>3060.5790200000006</v>
      </c>
      <c r="H22" s="77">
        <v>900</v>
      </c>
      <c r="I22" s="1382">
        <v>900</v>
      </c>
    </row>
    <row r="23" spans="1:9" ht="15.75" customHeight="1" thickBot="1">
      <c r="B23" s="80">
        <v>6171</v>
      </c>
      <c r="C23" s="60">
        <v>5171</v>
      </c>
      <c r="D23" s="61" t="s">
        <v>324</v>
      </c>
      <c r="E23" s="59" t="s">
        <v>1489</v>
      </c>
      <c r="F23" s="77">
        <v>0</v>
      </c>
      <c r="G23" s="77">
        <v>0</v>
      </c>
      <c r="H23" s="77">
        <v>2300</v>
      </c>
      <c r="I23" s="1382">
        <v>2300</v>
      </c>
    </row>
    <row r="24" spans="1:9" ht="15.75" customHeight="1" thickBot="1">
      <c r="B24" s="80">
        <v>6171</v>
      </c>
      <c r="C24" s="60">
        <v>5173</v>
      </c>
      <c r="D24" s="61" t="s">
        <v>324</v>
      </c>
      <c r="E24" s="59" t="s">
        <v>116</v>
      </c>
      <c r="F24" s="77">
        <v>350</v>
      </c>
      <c r="G24" s="77">
        <v>350</v>
      </c>
      <c r="H24" s="77">
        <v>300</v>
      </c>
      <c r="I24" s="1382">
        <v>300</v>
      </c>
    </row>
    <row r="25" spans="1:9" ht="15.75" customHeight="1" thickBot="1">
      <c r="B25" s="80">
        <v>6171</v>
      </c>
      <c r="C25" s="60">
        <v>5176</v>
      </c>
      <c r="D25" s="61" t="s">
        <v>324</v>
      </c>
      <c r="E25" s="59" t="s">
        <v>825</v>
      </c>
      <c r="F25" s="77">
        <v>50</v>
      </c>
      <c r="G25" s="77">
        <v>50</v>
      </c>
      <c r="H25" s="77">
        <v>0</v>
      </c>
      <c r="I25" s="1382">
        <v>0</v>
      </c>
    </row>
    <row r="26" spans="1:9" ht="15.75" customHeight="1" thickBot="1">
      <c r="B26" s="80">
        <v>6171</v>
      </c>
      <c r="C26" s="60">
        <v>5192</v>
      </c>
      <c r="D26" s="61" t="s">
        <v>324</v>
      </c>
      <c r="E26" s="59" t="s">
        <v>1187</v>
      </c>
      <c r="F26" s="77">
        <v>0</v>
      </c>
      <c r="G26" s="77">
        <v>1</v>
      </c>
      <c r="H26" s="77">
        <v>1</v>
      </c>
      <c r="I26" s="1382">
        <v>1</v>
      </c>
    </row>
    <row r="27" spans="1:9" ht="15.75" customHeight="1" thickBot="1">
      <c r="B27" s="80">
        <v>6171</v>
      </c>
      <c r="C27" s="60">
        <v>5194</v>
      </c>
      <c r="D27" s="61" t="s">
        <v>324</v>
      </c>
      <c r="E27" s="59" t="s">
        <v>1188</v>
      </c>
      <c r="F27" s="77">
        <v>0</v>
      </c>
      <c r="G27" s="77">
        <v>0</v>
      </c>
      <c r="H27" s="77">
        <v>130</v>
      </c>
      <c r="I27" s="1382">
        <v>130</v>
      </c>
    </row>
    <row r="28" spans="1:9" ht="15.75" customHeight="1" thickBot="1">
      <c r="B28" s="80">
        <v>6171</v>
      </c>
      <c r="C28" s="60">
        <v>5361</v>
      </c>
      <c r="D28" s="61" t="s">
        <v>324</v>
      </c>
      <c r="E28" s="59" t="s">
        <v>826</v>
      </c>
      <c r="F28" s="77">
        <v>5</v>
      </c>
      <c r="G28" s="77">
        <v>5</v>
      </c>
      <c r="H28" s="77">
        <v>5</v>
      </c>
      <c r="I28" s="1382">
        <v>5</v>
      </c>
    </row>
    <row r="29" spans="1:9" s="586" customFormat="1" ht="15.75" customHeight="1" thickBot="1">
      <c r="A29" s="584"/>
      <c r="B29" s="1987" t="s">
        <v>827</v>
      </c>
      <c r="C29" s="1988"/>
      <c r="D29" s="1988"/>
      <c r="E29" s="1988"/>
      <c r="F29" s="585">
        <f>SUM(F7:F28)</f>
        <v>12073</v>
      </c>
      <c r="G29" s="585">
        <f>SUM(G7:G28)</f>
        <v>12034.579020000001</v>
      </c>
      <c r="H29" s="585">
        <f>SUM(H7:H28)</f>
        <v>12054</v>
      </c>
      <c r="I29" s="1848">
        <f>SUM(I7:I28)</f>
        <v>12054</v>
      </c>
    </row>
    <row r="30" spans="1:9" s="586" customFormat="1" ht="15.75" hidden="1" customHeight="1" thickBot="1">
      <c r="A30" s="584"/>
      <c r="B30" s="401">
        <v>6118</v>
      </c>
      <c r="C30" s="384">
        <v>5021</v>
      </c>
      <c r="D30" s="384" t="s">
        <v>324</v>
      </c>
      <c r="E30" s="402" t="s">
        <v>828</v>
      </c>
      <c r="F30" s="587">
        <v>0</v>
      </c>
      <c r="G30" s="587">
        <v>664.45051000000001</v>
      </c>
      <c r="H30" s="587"/>
      <c r="I30" s="1849"/>
    </row>
    <row r="31" spans="1:9" s="586" customFormat="1" ht="15.75" hidden="1" customHeight="1" thickBot="1">
      <c r="A31" s="584"/>
      <c r="B31" s="401">
        <v>6118</v>
      </c>
      <c r="C31" s="384">
        <v>5137</v>
      </c>
      <c r="D31" s="384" t="s">
        <v>324</v>
      </c>
      <c r="E31" s="402" t="s">
        <v>829</v>
      </c>
      <c r="F31" s="587">
        <v>0</v>
      </c>
      <c r="G31" s="587">
        <v>14.701000000000001</v>
      </c>
      <c r="H31" s="587"/>
      <c r="I31" s="1849"/>
    </row>
    <row r="32" spans="1:9" s="586" customFormat="1" ht="15.75" hidden="1" customHeight="1" thickBot="1">
      <c r="A32" s="584"/>
      <c r="B32" s="401">
        <v>6118</v>
      </c>
      <c r="C32" s="384">
        <v>5139</v>
      </c>
      <c r="D32" s="384" t="s">
        <v>324</v>
      </c>
      <c r="E32" s="402" t="s">
        <v>830</v>
      </c>
      <c r="F32" s="587">
        <v>0</v>
      </c>
      <c r="G32" s="587">
        <v>28.407</v>
      </c>
      <c r="H32" s="587"/>
      <c r="I32" s="1849"/>
    </row>
    <row r="33" spans="1:9" s="586" customFormat="1" ht="15.75" hidden="1" customHeight="1" thickBot="1">
      <c r="A33" s="584"/>
      <c r="B33" s="401">
        <v>6118</v>
      </c>
      <c r="C33" s="384">
        <v>5153</v>
      </c>
      <c r="D33" s="384" t="s">
        <v>324</v>
      </c>
      <c r="E33" s="402" t="s">
        <v>831</v>
      </c>
      <c r="F33" s="587">
        <v>0</v>
      </c>
      <c r="G33" s="587">
        <v>7.1449999999999996</v>
      </c>
      <c r="H33" s="587"/>
      <c r="I33" s="1849"/>
    </row>
    <row r="34" spans="1:9" s="586" customFormat="1" ht="15.75" hidden="1" customHeight="1" thickBot="1">
      <c r="A34" s="584"/>
      <c r="B34" s="401">
        <v>6118</v>
      </c>
      <c r="C34" s="384">
        <v>5154</v>
      </c>
      <c r="D34" s="384" t="s">
        <v>324</v>
      </c>
      <c r="E34" s="402" t="s">
        <v>832</v>
      </c>
      <c r="F34" s="587">
        <v>0</v>
      </c>
      <c r="G34" s="587">
        <v>0.59</v>
      </c>
      <c r="H34" s="587"/>
      <c r="I34" s="1849"/>
    </row>
    <row r="35" spans="1:9" s="586" customFormat="1" ht="15.75" hidden="1" customHeight="1" thickBot="1">
      <c r="A35" s="584"/>
      <c r="B35" s="401">
        <v>6118</v>
      </c>
      <c r="C35" s="384">
        <v>5156</v>
      </c>
      <c r="D35" s="384" t="s">
        <v>324</v>
      </c>
      <c r="E35" s="402" t="s">
        <v>527</v>
      </c>
      <c r="F35" s="587">
        <v>0</v>
      </c>
      <c r="G35" s="587">
        <v>5.7359999999999998</v>
      </c>
      <c r="H35" s="587"/>
      <c r="I35" s="1849"/>
    </row>
    <row r="36" spans="1:9" s="586" customFormat="1" ht="15.75" hidden="1" customHeight="1" thickBot="1">
      <c r="A36" s="584"/>
      <c r="B36" s="401">
        <v>6118</v>
      </c>
      <c r="C36" s="384">
        <v>5161</v>
      </c>
      <c r="D36" s="384" t="s">
        <v>324</v>
      </c>
      <c r="E36" s="402" t="s">
        <v>833</v>
      </c>
      <c r="F36" s="587">
        <v>0</v>
      </c>
      <c r="G36" s="587">
        <v>10.314</v>
      </c>
      <c r="H36" s="587"/>
      <c r="I36" s="1849"/>
    </row>
    <row r="37" spans="1:9" s="586" customFormat="1" ht="15.75" hidden="1" customHeight="1" thickBot="1">
      <c r="A37" s="584"/>
      <c r="B37" s="401">
        <v>6118</v>
      </c>
      <c r="C37" s="384">
        <v>5162</v>
      </c>
      <c r="D37" s="384" t="s">
        <v>324</v>
      </c>
      <c r="E37" s="402" t="s">
        <v>834</v>
      </c>
      <c r="F37" s="587">
        <v>0</v>
      </c>
      <c r="G37" s="587">
        <v>131.06236000000001</v>
      </c>
      <c r="H37" s="587"/>
      <c r="I37" s="1849"/>
    </row>
    <row r="38" spans="1:9" s="586" customFormat="1" ht="15.75" hidden="1" customHeight="1" thickBot="1">
      <c r="A38" s="584"/>
      <c r="B38" s="401">
        <v>6118</v>
      </c>
      <c r="C38" s="384">
        <v>5164</v>
      </c>
      <c r="D38" s="384" t="s">
        <v>324</v>
      </c>
      <c r="E38" s="402" t="s">
        <v>835</v>
      </c>
      <c r="F38" s="587">
        <v>0</v>
      </c>
      <c r="G38" s="587">
        <v>302.80200000000002</v>
      </c>
      <c r="H38" s="587"/>
      <c r="I38" s="1849"/>
    </row>
    <row r="39" spans="1:9" s="586" customFormat="1" ht="15.75" hidden="1" customHeight="1" thickBot="1">
      <c r="A39" s="584"/>
      <c r="B39" s="401">
        <v>6118</v>
      </c>
      <c r="C39" s="384">
        <v>5169</v>
      </c>
      <c r="D39" s="384" t="s">
        <v>324</v>
      </c>
      <c r="E39" s="402" t="s">
        <v>211</v>
      </c>
      <c r="F39" s="587">
        <v>0</v>
      </c>
      <c r="G39" s="587">
        <f>169.79213+151.91037</f>
        <v>321.70249999999999</v>
      </c>
      <c r="H39" s="587"/>
      <c r="I39" s="1849"/>
    </row>
    <row r="40" spans="1:9" s="586" customFormat="1" ht="15.75" customHeight="1" thickBot="1">
      <c r="A40" s="584"/>
      <c r="B40" s="1989" t="s">
        <v>836</v>
      </c>
      <c r="C40" s="1990"/>
      <c r="D40" s="1990"/>
      <c r="E40" s="1991"/>
      <c r="F40" s="585">
        <f>SUM(F30:F39)</f>
        <v>0</v>
      </c>
      <c r="G40" s="585">
        <f>SUM(G30:G39)</f>
        <v>1486.9103700000001</v>
      </c>
      <c r="H40" s="585">
        <v>0</v>
      </c>
      <c r="I40" s="1848">
        <v>0</v>
      </c>
    </row>
    <row r="41" spans="1:9" s="586" customFormat="1" ht="15.75" customHeight="1" thickBot="1">
      <c r="A41" s="584"/>
      <c r="B41" s="514">
        <v>6310</v>
      </c>
      <c r="C41" s="1322">
        <v>5163</v>
      </c>
      <c r="D41" s="1322" t="s">
        <v>837</v>
      </c>
      <c r="E41" s="516" t="s">
        <v>838</v>
      </c>
      <c r="F41" s="815">
        <v>2</v>
      </c>
      <c r="G41" s="815">
        <v>2</v>
      </c>
      <c r="H41" s="815">
        <v>2</v>
      </c>
      <c r="I41" s="1850">
        <v>2</v>
      </c>
    </row>
    <row r="42" spans="1:9" ht="15.75" customHeight="1" thickBot="1">
      <c r="B42" s="514">
        <v>6171</v>
      </c>
      <c r="C42" s="1322">
        <v>5499</v>
      </c>
      <c r="D42" s="515" t="s">
        <v>837</v>
      </c>
      <c r="E42" s="516" t="s">
        <v>839</v>
      </c>
      <c r="F42" s="815">
        <v>1168</v>
      </c>
      <c r="G42" s="815">
        <f>1168+158.86479</f>
        <v>1326.8647900000001</v>
      </c>
      <c r="H42" s="815">
        <v>1168</v>
      </c>
      <c r="I42" s="1850">
        <v>1168</v>
      </c>
    </row>
    <row r="43" spans="1:9" s="44" customFormat="1" ht="15.75" customHeight="1" thickBot="1">
      <c r="A43" s="4">
        <v>502</v>
      </c>
      <c r="B43" s="1960" t="s">
        <v>840</v>
      </c>
      <c r="C43" s="1961"/>
      <c r="D43" s="1961"/>
      <c r="E43" s="1961"/>
      <c r="F43" s="55">
        <f>SUM(F29,F40:F42)</f>
        <v>13243</v>
      </c>
      <c r="G43" s="55">
        <f>SUM(G29,G40:G42)</f>
        <v>14850.35418</v>
      </c>
      <c r="H43" s="55">
        <f>SUM(H29,H40:H42)</f>
        <v>13224</v>
      </c>
      <c r="I43" s="1362">
        <f>SUM(I29,I40:I42)</f>
        <v>13224</v>
      </c>
    </row>
    <row r="44" spans="1:9" ht="15.75" customHeight="1" thickTop="1" thickBot="1">
      <c r="B44" s="316">
        <v>6171</v>
      </c>
      <c r="C44" s="317">
        <v>5134</v>
      </c>
      <c r="D44" s="230" t="s">
        <v>841</v>
      </c>
      <c r="E44" s="453" t="s">
        <v>713</v>
      </c>
      <c r="F44" s="583">
        <v>30</v>
      </c>
      <c r="G44" s="583">
        <v>30</v>
      </c>
      <c r="H44" s="583">
        <v>43</v>
      </c>
      <c r="I44" s="1847">
        <v>43</v>
      </c>
    </row>
    <row r="45" spans="1:9" ht="15.75" customHeight="1" thickBot="1">
      <c r="B45" s="80">
        <v>6171</v>
      </c>
      <c r="C45" s="60">
        <v>5137</v>
      </c>
      <c r="D45" s="61" t="s">
        <v>841</v>
      </c>
      <c r="E45" s="59" t="s">
        <v>91</v>
      </c>
      <c r="F45" s="77">
        <v>150</v>
      </c>
      <c r="G45" s="77">
        <v>150</v>
      </c>
      <c r="H45" s="77">
        <v>150</v>
      </c>
      <c r="I45" s="1382">
        <v>150</v>
      </c>
    </row>
    <row r="46" spans="1:9" ht="15.75" customHeight="1" thickBot="1">
      <c r="B46" s="80">
        <v>6171</v>
      </c>
      <c r="C46" s="60">
        <v>5139</v>
      </c>
      <c r="D46" s="61" t="s">
        <v>841</v>
      </c>
      <c r="E46" s="59" t="s">
        <v>842</v>
      </c>
      <c r="F46" s="77">
        <v>500</v>
      </c>
      <c r="G46" s="77">
        <v>500</v>
      </c>
      <c r="H46" s="77">
        <v>594</v>
      </c>
      <c r="I46" s="1382">
        <v>594</v>
      </c>
    </row>
    <row r="47" spans="1:9" ht="15.75" customHeight="1" thickBot="1">
      <c r="B47" s="80">
        <v>6171</v>
      </c>
      <c r="C47" s="60">
        <v>5151</v>
      </c>
      <c r="D47" s="61" t="s">
        <v>841</v>
      </c>
      <c r="E47" s="59" t="s">
        <v>89</v>
      </c>
      <c r="F47" s="77">
        <v>130</v>
      </c>
      <c r="G47" s="77">
        <v>130</v>
      </c>
      <c r="H47" s="77">
        <v>130</v>
      </c>
      <c r="I47" s="1382">
        <v>130</v>
      </c>
    </row>
    <row r="48" spans="1:9" ht="15.75" customHeight="1" thickBot="1">
      <c r="B48" s="80">
        <v>6171</v>
      </c>
      <c r="C48" s="60">
        <v>5152</v>
      </c>
      <c r="D48" s="61" t="s">
        <v>841</v>
      </c>
      <c r="E48" s="59" t="s">
        <v>613</v>
      </c>
      <c r="F48" s="77">
        <v>1450</v>
      </c>
      <c r="G48" s="77">
        <v>1450</v>
      </c>
      <c r="H48" s="77">
        <v>1550</v>
      </c>
      <c r="I48" s="1382">
        <v>1550</v>
      </c>
    </row>
    <row r="49" spans="1:10" ht="15.75" customHeight="1" thickBot="1">
      <c r="B49" s="80">
        <v>6171</v>
      </c>
      <c r="C49" s="60">
        <v>5154</v>
      </c>
      <c r="D49" s="61" t="s">
        <v>841</v>
      </c>
      <c r="E49" s="59" t="s">
        <v>87</v>
      </c>
      <c r="F49" s="77">
        <v>1050</v>
      </c>
      <c r="G49" s="77">
        <v>1050</v>
      </c>
      <c r="H49" s="77">
        <v>950</v>
      </c>
      <c r="I49" s="1382">
        <v>950</v>
      </c>
    </row>
    <row r="50" spans="1:10" ht="15.75" customHeight="1" thickBot="1">
      <c r="B50" s="80">
        <v>6171</v>
      </c>
      <c r="C50" s="60">
        <v>5156</v>
      </c>
      <c r="D50" s="61" t="s">
        <v>841</v>
      </c>
      <c r="E50" s="59" t="s">
        <v>86</v>
      </c>
      <c r="F50" s="77">
        <v>950</v>
      </c>
      <c r="G50" s="77">
        <v>950</v>
      </c>
      <c r="H50" s="77">
        <v>1000</v>
      </c>
      <c r="I50" s="1382">
        <v>1000</v>
      </c>
    </row>
    <row r="51" spans="1:10" ht="15.75" customHeight="1" thickBot="1">
      <c r="B51" s="80">
        <v>6171</v>
      </c>
      <c r="C51" s="60">
        <v>5161</v>
      </c>
      <c r="D51" s="61" t="s">
        <v>841</v>
      </c>
      <c r="E51" s="59" t="s">
        <v>720</v>
      </c>
      <c r="F51" s="77">
        <v>900</v>
      </c>
      <c r="G51" s="77">
        <v>900</v>
      </c>
      <c r="H51" s="77">
        <v>900</v>
      </c>
      <c r="I51" s="1382">
        <v>900</v>
      </c>
    </row>
    <row r="52" spans="1:10" ht="15.75" customHeight="1" thickBot="1">
      <c r="B52" s="80">
        <v>6171</v>
      </c>
      <c r="C52" s="60">
        <v>5169</v>
      </c>
      <c r="D52" s="61" t="s">
        <v>841</v>
      </c>
      <c r="E52" s="59" t="s">
        <v>211</v>
      </c>
      <c r="F52" s="77">
        <v>1850</v>
      </c>
      <c r="G52" s="77">
        <v>1850</v>
      </c>
      <c r="H52" s="77">
        <v>1400</v>
      </c>
      <c r="I52" s="1382">
        <v>1400</v>
      </c>
    </row>
    <row r="53" spans="1:10" ht="15.75" customHeight="1" thickBot="1">
      <c r="B53" s="80">
        <v>6171</v>
      </c>
      <c r="C53" s="60">
        <v>5171</v>
      </c>
      <c r="D53" s="61" t="s">
        <v>841</v>
      </c>
      <c r="E53" s="59" t="s">
        <v>53</v>
      </c>
      <c r="F53" s="77">
        <v>1600</v>
      </c>
      <c r="G53" s="77">
        <f>1600-1.94817-1.3188-1.13736-0.3843-1.8123-3.08406</f>
        <v>1590.3150100000003</v>
      </c>
      <c r="H53" s="77">
        <v>1400</v>
      </c>
      <c r="I53" s="1382">
        <v>1400</v>
      </c>
    </row>
    <row r="54" spans="1:10" ht="15.75" customHeight="1" thickBot="1">
      <c r="B54" s="80">
        <v>6171</v>
      </c>
      <c r="C54" s="60">
        <v>5171</v>
      </c>
      <c r="D54" s="61" t="s">
        <v>841</v>
      </c>
      <c r="E54" s="59" t="s">
        <v>1486</v>
      </c>
      <c r="F54" s="77">
        <v>0</v>
      </c>
      <c r="G54" s="77">
        <v>0</v>
      </c>
      <c r="H54" s="77">
        <v>0</v>
      </c>
      <c r="I54" s="1382">
        <v>860</v>
      </c>
    </row>
    <row r="55" spans="1:10" ht="15.75" customHeight="1" thickBot="1">
      <c r="B55" s="80">
        <v>6171</v>
      </c>
      <c r="C55" s="60">
        <v>5362</v>
      </c>
      <c r="D55" s="61" t="s">
        <v>841</v>
      </c>
      <c r="E55" s="59" t="s">
        <v>726</v>
      </c>
      <c r="F55" s="77">
        <v>23</v>
      </c>
      <c r="G55" s="77">
        <v>23</v>
      </c>
      <c r="H55" s="77">
        <v>27</v>
      </c>
      <c r="I55" s="1382">
        <v>27</v>
      </c>
    </row>
    <row r="56" spans="1:10" ht="15.75" customHeight="1" thickBot="1">
      <c r="B56" s="80">
        <v>6171</v>
      </c>
      <c r="C56" s="60">
        <v>5365</v>
      </c>
      <c r="D56" s="61" t="s">
        <v>841</v>
      </c>
      <c r="E56" s="59" t="s">
        <v>843</v>
      </c>
      <c r="F56" s="77">
        <v>2</v>
      </c>
      <c r="G56" s="77">
        <v>2</v>
      </c>
      <c r="H56" s="77">
        <v>3</v>
      </c>
      <c r="I56" s="1382">
        <v>3</v>
      </c>
    </row>
    <row r="57" spans="1:10" s="44" customFormat="1" ht="15.75" customHeight="1" thickBot="1">
      <c r="A57" s="4">
        <v>503</v>
      </c>
      <c r="B57" s="1960" t="s">
        <v>844</v>
      </c>
      <c r="C57" s="1961"/>
      <c r="D57" s="1961"/>
      <c r="E57" s="1961"/>
      <c r="F57" s="55">
        <f>SUM(F44:F56)</f>
        <v>8635</v>
      </c>
      <c r="G57" s="55">
        <f>SUM(G44:G56)</f>
        <v>8625.3150100000003</v>
      </c>
      <c r="H57" s="55">
        <f>SUM(H44:H56)</f>
        <v>8147</v>
      </c>
      <c r="I57" s="1362">
        <f>SUM(I44:I56)</f>
        <v>9007</v>
      </c>
    </row>
    <row r="58" spans="1:10" s="17" customFormat="1" ht="6" customHeight="1" thickTop="1" thickBot="1">
      <c r="A58" s="23"/>
      <c r="B58" s="22"/>
      <c r="C58" s="22"/>
      <c r="D58" s="21"/>
      <c r="E58" s="588"/>
      <c r="F58" s="589"/>
      <c r="G58" s="11"/>
      <c r="H58" s="11"/>
      <c r="I58" s="18"/>
    </row>
    <row r="59" spans="1:10" s="554" customFormat="1" ht="15.75" customHeight="1" thickTop="1" thickBot="1">
      <c r="A59" s="108"/>
      <c r="B59" s="256"/>
      <c r="C59" s="256"/>
      <c r="D59" s="590"/>
      <c r="E59" s="591" t="s">
        <v>30</v>
      </c>
      <c r="F59" s="14">
        <f>SUM(F43,F57)</f>
        <v>21878</v>
      </c>
      <c r="G59" s="14">
        <f t="shared" ref="G59:I59" si="0">SUM(G43,G57)</f>
        <v>23475.669190000001</v>
      </c>
      <c r="H59" s="14">
        <f t="shared" si="0"/>
        <v>21371</v>
      </c>
      <c r="I59" s="47">
        <f t="shared" si="0"/>
        <v>22231</v>
      </c>
      <c r="J59" s="1713"/>
    </row>
    <row r="60" spans="1:10" s="554" customFormat="1" ht="15.75" hidden="1" customHeight="1" thickTop="1">
      <c r="A60" s="108"/>
      <c r="B60" s="256"/>
      <c r="C60" s="256"/>
      <c r="D60" s="590"/>
      <c r="E60" s="592"/>
      <c r="F60" s="42"/>
      <c r="G60" s="42"/>
      <c r="H60" s="42"/>
      <c r="I60" s="42"/>
    </row>
    <row r="61" spans="1:10" s="554" customFormat="1" ht="15.75" hidden="1" customHeight="1">
      <c r="A61" s="108"/>
      <c r="B61" s="256"/>
      <c r="C61" s="256"/>
      <c r="D61" s="590"/>
      <c r="E61" s="592"/>
      <c r="F61" s="42"/>
      <c r="G61" s="42"/>
      <c r="H61" s="42"/>
      <c r="I61" s="42"/>
    </row>
    <row r="62" spans="1:10" s="554" customFormat="1" ht="15.75" hidden="1" customHeight="1">
      <c r="A62" s="108"/>
      <c r="B62" s="256"/>
      <c r="C62" s="256"/>
      <c r="D62" s="590"/>
      <c r="E62" s="592"/>
      <c r="F62" s="42"/>
      <c r="G62" s="42"/>
      <c r="H62" s="42"/>
      <c r="I62" s="42"/>
    </row>
    <row r="63" spans="1:10" s="554" customFormat="1" ht="15.75" hidden="1" customHeight="1" thickBot="1">
      <c r="A63" s="108"/>
      <c r="B63" s="256"/>
      <c r="C63" s="256"/>
      <c r="D63" s="590"/>
      <c r="E63" s="592"/>
      <c r="F63" s="42"/>
      <c r="G63" s="42"/>
      <c r="H63" s="42"/>
      <c r="I63" s="42"/>
    </row>
    <row r="64" spans="1:10" s="554" customFormat="1" ht="15.75" hidden="1" customHeight="1" thickTop="1">
      <c r="A64" s="108"/>
      <c r="B64" s="41"/>
      <c r="C64" s="40"/>
      <c r="D64" s="39"/>
      <c r="E64" s="38"/>
      <c r="F64" s="1974"/>
      <c r="G64" s="1974"/>
      <c r="H64" s="1974"/>
      <c r="I64" s="1709"/>
    </row>
    <row r="65" spans="1:9" s="554" customFormat="1" ht="15.75" hidden="1" customHeight="1">
      <c r="A65" s="108"/>
      <c r="B65" s="36" t="s">
        <v>42</v>
      </c>
      <c r="C65" s="35" t="s">
        <v>41</v>
      </c>
      <c r="D65" s="34" t="s">
        <v>40</v>
      </c>
      <c r="E65" s="33"/>
      <c r="F65" s="1975"/>
      <c r="G65" s="1975"/>
      <c r="H65" s="1975"/>
      <c r="I65" s="1710"/>
    </row>
    <row r="66" spans="1:9" s="554" customFormat="1" ht="15.75" hidden="1" customHeight="1" thickBot="1">
      <c r="A66" s="108"/>
      <c r="B66" s="31"/>
      <c r="C66" s="30"/>
      <c r="D66" s="29"/>
      <c r="E66" s="28" t="s">
        <v>38</v>
      </c>
      <c r="F66" s="1976"/>
      <c r="G66" s="1976"/>
      <c r="H66" s="1976"/>
      <c r="I66" s="1711"/>
    </row>
    <row r="67" spans="1:9" s="554" customFormat="1" ht="15.75" hidden="1" customHeight="1" thickTop="1" thickBot="1">
      <c r="A67" s="108">
        <v>601</v>
      </c>
      <c r="B67" s="248">
        <v>6171</v>
      </c>
      <c r="C67" s="249" t="s">
        <v>845</v>
      </c>
      <c r="D67" s="249" t="s">
        <v>841</v>
      </c>
      <c r="E67" s="593" t="s">
        <v>753</v>
      </c>
      <c r="F67" s="594"/>
      <c r="G67" s="594"/>
      <c r="H67" s="594"/>
      <c r="I67" s="594"/>
    </row>
    <row r="68" spans="1:9" s="596" customFormat="1" ht="6" hidden="1" customHeight="1" thickBot="1">
      <c r="A68" s="595"/>
      <c r="B68" s="295"/>
      <c r="C68" s="295"/>
      <c r="D68" s="502"/>
      <c r="E68" s="592"/>
      <c r="F68" s="42"/>
      <c r="G68" s="42"/>
      <c r="H68" s="42"/>
      <c r="I68" s="42"/>
    </row>
    <row r="69" spans="1:9" s="554" customFormat="1" ht="15.75" hidden="1" customHeight="1" thickTop="1" thickBot="1">
      <c r="A69" s="108"/>
      <c r="B69" s="256"/>
      <c r="C69" s="256"/>
      <c r="D69" s="590"/>
      <c r="E69" s="591" t="s">
        <v>32</v>
      </c>
      <c r="F69" s="47"/>
      <c r="G69" s="47"/>
      <c r="H69" s="47"/>
      <c r="I69" s="47"/>
    </row>
    <row r="70" spans="1:9" ht="10.5" hidden="1" customHeight="1" thickTop="1" thickBot="1"/>
    <row r="71" spans="1:9" s="44" customFormat="1" ht="15.75" hidden="1" customHeight="1" thickTop="1" thickBot="1">
      <c r="A71" s="10"/>
      <c r="B71" s="9"/>
      <c r="C71" s="8"/>
      <c r="D71" s="177"/>
      <c r="E71" s="597" t="s">
        <v>846</v>
      </c>
      <c r="F71" s="555"/>
      <c r="G71" s="555"/>
      <c r="H71" s="555"/>
      <c r="I71" s="555"/>
    </row>
    <row r="72" spans="1:9" s="157" customFormat="1" ht="15.75" hidden="1" customHeight="1" thickTop="1">
      <c r="A72" s="4"/>
      <c r="B72" s="3"/>
      <c r="C72" s="3"/>
      <c r="D72" s="160"/>
      <c r="E72" s="3"/>
      <c r="F72" s="2"/>
      <c r="G72" s="2"/>
      <c r="H72" s="2"/>
      <c r="I72" s="2"/>
    </row>
    <row r="73" spans="1:9" ht="15" hidden="1" customHeight="1"/>
    <row r="74" spans="1:9" ht="15" hidden="1" customHeight="1"/>
    <row r="75" spans="1:9" ht="15.75" thickTop="1"/>
    <row r="76" spans="1:9">
      <c r="A76" s="108"/>
      <c r="B76" s="256"/>
      <c r="C76" s="256"/>
      <c r="D76" s="590"/>
      <c r="E76" s="592"/>
      <c r="F76" s="42"/>
      <c r="G76" s="42"/>
      <c r="H76" s="42"/>
      <c r="I76" s="42"/>
    </row>
    <row r="77" spans="1:9">
      <c r="A77" s="108"/>
      <c r="B77" s="256"/>
      <c r="C77" s="256"/>
      <c r="D77" s="590"/>
      <c r="E77" s="592"/>
      <c r="F77" s="42"/>
      <c r="G77" s="42"/>
      <c r="H77" s="42"/>
      <c r="I77" s="42"/>
    </row>
    <row r="78" spans="1:9" ht="15.75" thickBot="1">
      <c r="A78" s="108"/>
      <c r="B78" s="256"/>
      <c r="C78" s="256"/>
      <c r="D78" s="590"/>
      <c r="E78" s="592"/>
      <c r="F78" s="42"/>
      <c r="G78" s="42"/>
      <c r="H78" s="42"/>
      <c r="I78" s="42"/>
    </row>
    <row r="79" spans="1:9" ht="15.75" customHeight="1" thickTop="1">
      <c r="A79" s="108"/>
      <c r="B79" s="41"/>
      <c r="C79" s="40"/>
      <c r="D79" s="39"/>
      <c r="E79" s="38"/>
      <c r="F79" s="1962" t="s">
        <v>44</v>
      </c>
      <c r="G79" s="1962" t="s">
        <v>43</v>
      </c>
      <c r="H79" s="1962" t="s">
        <v>1487</v>
      </c>
      <c r="I79" s="1971" t="s">
        <v>1488</v>
      </c>
    </row>
    <row r="80" spans="1:9">
      <c r="A80" s="108"/>
      <c r="B80" s="36" t="s">
        <v>42</v>
      </c>
      <c r="C80" s="35" t="s">
        <v>41</v>
      </c>
      <c r="D80" s="34" t="s">
        <v>40</v>
      </c>
      <c r="E80" s="33"/>
      <c r="F80" s="1963"/>
      <c r="G80" s="1963"/>
      <c r="H80" s="1963"/>
      <c r="I80" s="1972"/>
    </row>
    <row r="81" spans="1:10" ht="15.75" thickBot="1">
      <c r="A81" s="108"/>
      <c r="B81" s="31"/>
      <c r="C81" s="30"/>
      <c r="D81" s="29"/>
      <c r="E81" s="28" t="s">
        <v>38</v>
      </c>
      <c r="F81" s="1964"/>
      <c r="G81" s="1964"/>
      <c r="H81" s="1964"/>
      <c r="I81" s="1973"/>
    </row>
    <row r="82" spans="1:10" ht="16.5" thickTop="1" thickBot="1">
      <c r="A82" s="108"/>
      <c r="B82" s="117">
        <v>6171</v>
      </c>
      <c r="C82" s="118" t="s">
        <v>845</v>
      </c>
      <c r="D82" s="118" t="s">
        <v>841</v>
      </c>
      <c r="E82" s="119" t="s">
        <v>753</v>
      </c>
      <c r="F82" s="54">
        <v>270</v>
      </c>
      <c r="G82" s="54">
        <f>270-55</f>
        <v>215</v>
      </c>
      <c r="H82" s="54">
        <v>850</v>
      </c>
      <c r="I82" s="1466">
        <v>850</v>
      </c>
    </row>
    <row r="83" spans="1:10" ht="27" thickTop="1" thickBot="1">
      <c r="A83" s="108">
        <v>603</v>
      </c>
      <c r="B83" s="872" t="s">
        <v>52</v>
      </c>
      <c r="C83" s="873" t="s">
        <v>160</v>
      </c>
      <c r="D83" s="873" t="s">
        <v>324</v>
      </c>
      <c r="E83" s="874" t="s">
        <v>847</v>
      </c>
      <c r="F83" s="875">
        <v>150</v>
      </c>
      <c r="G83" s="875">
        <f>150+55</f>
        <v>205</v>
      </c>
      <c r="H83" s="875">
        <v>0</v>
      </c>
      <c r="I83" s="1469">
        <v>0</v>
      </c>
    </row>
    <row r="84" spans="1:10" s="17" customFormat="1" ht="6" customHeight="1" thickTop="1" thickBot="1">
      <c r="A84" s="23"/>
      <c r="B84" s="22"/>
      <c r="C84" s="22"/>
      <c r="D84" s="21"/>
      <c r="E84" s="20"/>
      <c r="F84" s="18"/>
      <c r="G84" s="18"/>
      <c r="H84" s="18"/>
      <c r="I84" s="18"/>
    </row>
    <row r="85" spans="1:10" ht="16.5" thickTop="1" thickBot="1">
      <c r="A85" s="108"/>
      <c r="B85" s="256"/>
      <c r="C85" s="256"/>
      <c r="D85" s="590"/>
      <c r="E85" s="591" t="s">
        <v>32</v>
      </c>
      <c r="F85" s="13">
        <f>SUM(F82:F83)</f>
        <v>420</v>
      </c>
      <c r="G85" s="13">
        <f t="shared" ref="G85:H85" si="1">SUM(G82:G84)</f>
        <v>420</v>
      </c>
      <c r="H85" s="13">
        <f t="shared" si="1"/>
        <v>850</v>
      </c>
      <c r="I85" s="47">
        <f t="shared" ref="I85" si="2">SUM(I82:I84)</f>
        <v>850</v>
      </c>
    </row>
    <row r="86" spans="1:10" ht="7.5" customHeight="1" thickTop="1" thickBot="1"/>
    <row r="87" spans="1:10" ht="16.5" thickTop="1" thickBot="1">
      <c r="A87" s="10"/>
      <c r="B87" s="9"/>
      <c r="C87" s="8"/>
      <c r="D87" s="177"/>
      <c r="E87" s="8" t="s">
        <v>846</v>
      </c>
      <c r="F87" s="6">
        <f>SUM(F59,F85)</f>
        <v>22298</v>
      </c>
      <c r="G87" s="6">
        <f>SUM(G59,G85)</f>
        <v>23895.669190000001</v>
      </c>
      <c r="H87" s="6">
        <f>SUM(H59,H85)</f>
        <v>22221</v>
      </c>
      <c r="I87" s="45">
        <f>SUM(I59,I85)</f>
        <v>23081</v>
      </c>
      <c r="J87" s="966"/>
    </row>
    <row r="88" spans="1:10" ht="15.75" thickTop="1"/>
  </sheetData>
  <mergeCells count="15">
    <mergeCell ref="I4:I6"/>
    <mergeCell ref="I79:I81"/>
    <mergeCell ref="G79:G81"/>
    <mergeCell ref="H79:H81"/>
    <mergeCell ref="F79:F81"/>
    <mergeCell ref="G4:G6"/>
    <mergeCell ref="H4:H6"/>
    <mergeCell ref="F4:F6"/>
    <mergeCell ref="B43:E43"/>
    <mergeCell ref="B57:E57"/>
    <mergeCell ref="F64:F66"/>
    <mergeCell ref="H64:H66"/>
    <mergeCell ref="B29:E29"/>
    <mergeCell ref="B40:E40"/>
    <mergeCell ref="G64:G66"/>
  </mergeCells>
  <printOptions horizontalCentered="1"/>
  <pageMargins left="0.78740157480314965" right="0.78740157480314965" top="0.78740157480314965" bottom="0.78740157480314965" header="0.39370078740157483" footer="0.39370078740157483"/>
  <pageSetup paperSize="9" scale="94" firstPageNumber="58" orientation="portrait" useFirstPageNumber="1" r:id="rId1"/>
  <headerFooter>
    <oddHeader>&amp;C&amp;"+,Tučné"II. Rozpis rozpočtu</oddHeader>
    <oddFooter>&amp;C&amp;"-,Obyčejné" &amp;P</oddFooter>
  </headerFooter>
  <rowBreaks count="1" manualBreakCount="1">
    <brk id="59" min="1" max="8" man="1"/>
  </rowBreaks>
  <ignoredErrors>
    <ignoredError sqref="D55:D56 B7:E22 B24:E42 B23:C23 D44:D53" numberStoredAsText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</sheetPr>
  <dimension ref="A1:J92"/>
  <sheetViews>
    <sheetView zoomScaleNormal="100" workbookViewId="0">
      <selection activeCell="A33" sqref="A33:XFD33"/>
    </sheetView>
  </sheetViews>
  <sheetFormatPr defaultRowHeight="12.75"/>
  <cols>
    <col min="1" max="1" width="4" style="4" customWidth="1"/>
    <col min="2" max="4" width="5.7109375" style="3" customWidth="1"/>
    <col min="5" max="5" width="36.7109375" style="3" customWidth="1"/>
    <col min="6" max="6" width="9.85546875" style="2" customWidth="1"/>
    <col min="7" max="7" width="9.85546875" style="2" hidden="1" customWidth="1"/>
    <col min="8" max="9" width="9.85546875" style="2" customWidth="1"/>
    <col min="10" max="16384" width="9.140625" style="3"/>
  </cols>
  <sheetData>
    <row r="1" spans="1:10" ht="14.45" customHeight="1"/>
    <row r="2" spans="1:10" ht="14.45" customHeight="1"/>
    <row r="3" spans="1:10" ht="12" customHeight="1" thickBot="1"/>
    <row r="4" spans="1:10" ht="14.45" customHeight="1" thickTop="1">
      <c r="B4" s="41"/>
      <c r="C4" s="40"/>
      <c r="D4" s="39"/>
      <c r="E4" s="38"/>
      <c r="F4" s="1962" t="s">
        <v>44</v>
      </c>
      <c r="G4" s="1962" t="s">
        <v>43</v>
      </c>
      <c r="H4" s="1962" t="s">
        <v>1487</v>
      </c>
      <c r="I4" s="1971" t="s">
        <v>1488</v>
      </c>
    </row>
    <row r="5" spans="1:10" ht="14.45" customHeight="1">
      <c r="A5" s="4" t="s">
        <v>120</v>
      </c>
      <c r="B5" s="36" t="s">
        <v>42</v>
      </c>
      <c r="C5" s="35" t="s">
        <v>41</v>
      </c>
      <c r="D5" s="34" t="s">
        <v>40</v>
      </c>
      <c r="E5" s="33"/>
      <c r="F5" s="1963"/>
      <c r="G5" s="1963"/>
      <c r="H5" s="1963"/>
      <c r="I5" s="1972"/>
    </row>
    <row r="6" spans="1:10" ht="14.45" customHeight="1" thickBot="1">
      <c r="B6" s="31"/>
      <c r="C6" s="30"/>
      <c r="D6" s="29"/>
      <c r="E6" s="28" t="s">
        <v>38</v>
      </c>
      <c r="F6" s="1964"/>
      <c r="G6" s="1964"/>
      <c r="H6" s="1964"/>
      <c r="I6" s="1973"/>
      <c r="J6" s="1"/>
    </row>
    <row r="7" spans="1:10" ht="14.45" customHeight="1" thickTop="1" thickBot="1">
      <c r="B7" s="87">
        <v>5311</v>
      </c>
      <c r="C7" s="85">
        <v>5011</v>
      </c>
      <c r="D7" s="86" t="s">
        <v>709</v>
      </c>
      <c r="E7" s="84" t="s">
        <v>103</v>
      </c>
      <c r="F7" s="507">
        <v>26500</v>
      </c>
      <c r="G7" s="507">
        <f>26500-50+500</f>
        <v>26950</v>
      </c>
      <c r="H7" s="507">
        <v>27950</v>
      </c>
      <c r="I7" s="1475">
        <v>27950</v>
      </c>
    </row>
    <row r="8" spans="1:10" ht="14.45" customHeight="1" thickBot="1">
      <c r="B8" s="80">
        <v>5311</v>
      </c>
      <c r="C8" s="61" t="s">
        <v>710</v>
      </c>
      <c r="D8" s="61" t="s">
        <v>709</v>
      </c>
      <c r="E8" s="59" t="s">
        <v>95</v>
      </c>
      <c r="F8" s="508">
        <v>20</v>
      </c>
      <c r="G8" s="508">
        <f>20+50</f>
        <v>70</v>
      </c>
      <c r="H8" s="508">
        <v>20</v>
      </c>
      <c r="I8" s="1476">
        <v>20</v>
      </c>
    </row>
    <row r="9" spans="1:10" ht="14.45" customHeight="1" thickBot="1">
      <c r="B9" s="80">
        <v>5311</v>
      </c>
      <c r="C9" s="61">
        <v>5021</v>
      </c>
      <c r="D9" s="60" t="s">
        <v>709</v>
      </c>
      <c r="E9" s="59" t="s">
        <v>113</v>
      </c>
      <c r="F9" s="508">
        <v>40</v>
      </c>
      <c r="G9" s="508">
        <v>40</v>
      </c>
      <c r="H9" s="508">
        <v>50</v>
      </c>
      <c r="I9" s="1476">
        <v>50</v>
      </c>
    </row>
    <row r="10" spans="1:10" ht="14.45" hidden="1" customHeight="1" thickBot="1">
      <c r="B10" s="509">
        <v>5311</v>
      </c>
      <c r="C10" s="510" t="s">
        <v>198</v>
      </c>
      <c r="D10" s="510" t="s">
        <v>709</v>
      </c>
      <c r="E10" s="511" t="s">
        <v>711</v>
      </c>
      <c r="F10" s="512">
        <v>0</v>
      </c>
      <c r="G10" s="512">
        <v>0</v>
      </c>
      <c r="H10" s="512">
        <v>0</v>
      </c>
      <c r="I10" s="1477">
        <v>0</v>
      </c>
    </row>
    <row r="11" spans="1:10" ht="14.45" customHeight="1" thickBot="1">
      <c r="B11" s="80">
        <v>5311</v>
      </c>
      <c r="C11" s="61">
        <v>5031</v>
      </c>
      <c r="D11" s="60" t="s">
        <v>709</v>
      </c>
      <c r="E11" s="59" t="s">
        <v>102</v>
      </c>
      <c r="F11" s="508">
        <f>F7*0.26</f>
        <v>6890</v>
      </c>
      <c r="G11" s="508">
        <f>F11+130</f>
        <v>7020</v>
      </c>
      <c r="H11" s="508">
        <f>H7*0.25</f>
        <v>6987.5</v>
      </c>
      <c r="I11" s="1478">
        <f>I7*0.25</f>
        <v>6987.5</v>
      </c>
    </row>
    <row r="12" spans="1:10" ht="14.45" customHeight="1" thickBot="1">
      <c r="B12" s="80">
        <v>5311</v>
      </c>
      <c r="C12" s="61">
        <v>5032</v>
      </c>
      <c r="D12" s="60" t="s">
        <v>709</v>
      </c>
      <c r="E12" s="59" t="s">
        <v>101</v>
      </c>
      <c r="F12" s="508">
        <f>F7*0.09</f>
        <v>2385</v>
      </c>
      <c r="G12" s="508">
        <f>F12+45</f>
        <v>2430</v>
      </c>
      <c r="H12" s="508">
        <f>H7*0.09</f>
        <v>2515.5</v>
      </c>
      <c r="I12" s="1476">
        <f>I7*0.09</f>
        <v>2515.5</v>
      </c>
    </row>
    <row r="13" spans="1:10" ht="14.45" customHeight="1" thickBot="1">
      <c r="B13" s="80">
        <v>5311</v>
      </c>
      <c r="C13" s="61">
        <v>5133</v>
      </c>
      <c r="D13" s="60" t="s">
        <v>709</v>
      </c>
      <c r="E13" s="59" t="s">
        <v>712</v>
      </c>
      <c r="F13" s="508">
        <v>2</v>
      </c>
      <c r="G13" s="508">
        <v>2</v>
      </c>
      <c r="H13" s="508">
        <v>3</v>
      </c>
      <c r="I13" s="1476">
        <v>3</v>
      </c>
    </row>
    <row r="14" spans="1:10" ht="14.45" customHeight="1" thickBot="1">
      <c r="B14" s="80">
        <v>5311</v>
      </c>
      <c r="C14" s="61">
        <v>5134</v>
      </c>
      <c r="D14" s="60" t="s">
        <v>709</v>
      </c>
      <c r="E14" s="59" t="s">
        <v>713</v>
      </c>
      <c r="F14" s="508">
        <v>500</v>
      </c>
      <c r="G14" s="508">
        <f>500+30</f>
        <v>530</v>
      </c>
      <c r="H14" s="508">
        <v>580</v>
      </c>
      <c r="I14" s="1476">
        <v>580</v>
      </c>
    </row>
    <row r="15" spans="1:10" ht="14.45" customHeight="1" thickBot="1">
      <c r="B15" s="80">
        <v>5311</v>
      </c>
      <c r="C15" s="61">
        <v>5136</v>
      </c>
      <c r="D15" s="60" t="s">
        <v>709</v>
      </c>
      <c r="E15" s="59" t="s">
        <v>714</v>
      </c>
      <c r="F15" s="508">
        <v>10</v>
      </c>
      <c r="G15" s="508">
        <v>10</v>
      </c>
      <c r="H15" s="508">
        <v>10</v>
      </c>
      <c r="I15" s="1476">
        <v>10</v>
      </c>
    </row>
    <row r="16" spans="1:10" ht="14.45" customHeight="1" thickBot="1">
      <c r="B16" s="80">
        <v>5311</v>
      </c>
      <c r="C16" s="61">
        <v>5137</v>
      </c>
      <c r="D16" s="60" t="s">
        <v>709</v>
      </c>
      <c r="E16" s="59" t="s">
        <v>715</v>
      </c>
      <c r="F16" s="508">
        <v>290</v>
      </c>
      <c r="G16" s="508">
        <f>290+10</f>
        <v>300</v>
      </c>
      <c r="H16" s="508">
        <v>260</v>
      </c>
      <c r="I16" s="1476">
        <v>260</v>
      </c>
    </row>
    <row r="17" spans="2:9" ht="14.45" customHeight="1" thickBot="1">
      <c r="B17" s="80">
        <v>5311</v>
      </c>
      <c r="C17" s="61">
        <v>5139</v>
      </c>
      <c r="D17" s="60" t="s">
        <v>709</v>
      </c>
      <c r="E17" s="59" t="s">
        <v>50</v>
      </c>
      <c r="F17" s="508">
        <v>260</v>
      </c>
      <c r="G17" s="508">
        <v>260</v>
      </c>
      <c r="H17" s="508">
        <v>285</v>
      </c>
      <c r="I17" s="1476">
        <v>285</v>
      </c>
    </row>
    <row r="18" spans="2:9" ht="14.45" hidden="1" customHeight="1" thickBot="1">
      <c r="B18" s="509">
        <v>5311</v>
      </c>
      <c r="C18" s="510" t="s">
        <v>51</v>
      </c>
      <c r="D18" s="513" t="s">
        <v>709</v>
      </c>
      <c r="E18" s="511" t="s">
        <v>716</v>
      </c>
      <c r="F18" s="512">
        <v>0</v>
      </c>
      <c r="G18" s="512">
        <v>0</v>
      </c>
      <c r="H18" s="512">
        <v>0</v>
      </c>
      <c r="I18" s="1477">
        <v>0</v>
      </c>
    </row>
    <row r="19" spans="2:9" ht="14.45" customHeight="1" thickBot="1">
      <c r="B19" s="80">
        <v>5311</v>
      </c>
      <c r="C19" s="61">
        <v>5149</v>
      </c>
      <c r="D19" s="60" t="s">
        <v>709</v>
      </c>
      <c r="E19" s="59" t="s">
        <v>717</v>
      </c>
      <c r="F19" s="508">
        <v>1</v>
      </c>
      <c r="G19" s="508">
        <v>1</v>
      </c>
      <c r="H19" s="508">
        <v>1</v>
      </c>
      <c r="I19" s="1476">
        <v>1</v>
      </c>
    </row>
    <row r="20" spans="2:9" ht="14.45" customHeight="1" thickBot="1">
      <c r="B20" s="80">
        <v>5311</v>
      </c>
      <c r="C20" s="61">
        <v>5151</v>
      </c>
      <c r="D20" s="60" t="s">
        <v>709</v>
      </c>
      <c r="E20" s="59" t="s">
        <v>611</v>
      </c>
      <c r="F20" s="508">
        <v>60</v>
      </c>
      <c r="G20" s="508">
        <v>60</v>
      </c>
      <c r="H20" s="508">
        <v>60</v>
      </c>
      <c r="I20" s="1476">
        <v>60</v>
      </c>
    </row>
    <row r="21" spans="2:9" ht="14.45" customHeight="1" thickBot="1">
      <c r="B21" s="80">
        <v>5311</v>
      </c>
      <c r="C21" s="61">
        <v>5152</v>
      </c>
      <c r="D21" s="60" t="s">
        <v>709</v>
      </c>
      <c r="E21" s="59" t="s">
        <v>718</v>
      </c>
      <c r="F21" s="508">
        <v>50</v>
      </c>
      <c r="G21" s="508">
        <v>50</v>
      </c>
      <c r="H21" s="508">
        <v>55</v>
      </c>
      <c r="I21" s="1476">
        <v>55</v>
      </c>
    </row>
    <row r="22" spans="2:9" ht="14.45" customHeight="1" thickBot="1">
      <c r="B22" s="80">
        <v>5311</v>
      </c>
      <c r="C22" s="61">
        <v>5153</v>
      </c>
      <c r="D22" s="60" t="s">
        <v>709</v>
      </c>
      <c r="E22" s="59" t="s">
        <v>88</v>
      </c>
      <c r="F22" s="508">
        <v>330</v>
      </c>
      <c r="G22" s="508">
        <v>330</v>
      </c>
      <c r="H22" s="508">
        <v>325</v>
      </c>
      <c r="I22" s="1476">
        <v>325</v>
      </c>
    </row>
    <row r="23" spans="2:9" ht="14.45" customHeight="1" thickBot="1">
      <c r="B23" s="80">
        <v>5311</v>
      </c>
      <c r="C23" s="61">
        <v>5154</v>
      </c>
      <c r="D23" s="60" t="s">
        <v>709</v>
      </c>
      <c r="E23" s="59" t="s">
        <v>87</v>
      </c>
      <c r="F23" s="508">
        <v>320</v>
      </c>
      <c r="G23" s="508">
        <v>320</v>
      </c>
      <c r="H23" s="508">
        <v>300</v>
      </c>
      <c r="I23" s="1476">
        <v>300</v>
      </c>
    </row>
    <row r="24" spans="2:9" ht="14.45" customHeight="1" thickBot="1">
      <c r="B24" s="80">
        <v>5311</v>
      </c>
      <c r="C24" s="61">
        <v>5156</v>
      </c>
      <c r="D24" s="60" t="s">
        <v>709</v>
      </c>
      <c r="E24" s="59" t="s">
        <v>86</v>
      </c>
      <c r="F24" s="508">
        <v>670</v>
      </c>
      <c r="G24" s="508">
        <v>670</v>
      </c>
      <c r="H24" s="508">
        <v>670</v>
      </c>
      <c r="I24" s="1476">
        <v>670</v>
      </c>
    </row>
    <row r="25" spans="2:9" ht="14.45" customHeight="1" thickBot="1">
      <c r="B25" s="80">
        <v>5311</v>
      </c>
      <c r="C25" s="61">
        <v>5157</v>
      </c>
      <c r="D25" s="60" t="s">
        <v>709</v>
      </c>
      <c r="E25" s="59" t="s">
        <v>719</v>
      </c>
      <c r="F25" s="508">
        <v>1</v>
      </c>
      <c r="G25" s="508">
        <v>1</v>
      </c>
      <c r="H25" s="508">
        <v>1</v>
      </c>
      <c r="I25" s="1476">
        <v>1</v>
      </c>
    </row>
    <row r="26" spans="2:9" ht="14.45" customHeight="1" thickBot="1">
      <c r="B26" s="80">
        <v>5311</v>
      </c>
      <c r="C26" s="61">
        <v>5161</v>
      </c>
      <c r="D26" s="60" t="s">
        <v>709</v>
      </c>
      <c r="E26" s="59" t="s">
        <v>720</v>
      </c>
      <c r="F26" s="508">
        <v>3</v>
      </c>
      <c r="G26" s="508">
        <v>3</v>
      </c>
      <c r="H26" s="508">
        <v>3</v>
      </c>
      <c r="I26" s="1476">
        <v>3</v>
      </c>
    </row>
    <row r="27" spans="2:9" ht="14.45" customHeight="1" thickBot="1">
      <c r="B27" s="80">
        <v>5311</v>
      </c>
      <c r="C27" s="61">
        <v>5162</v>
      </c>
      <c r="D27" s="60" t="s">
        <v>709</v>
      </c>
      <c r="E27" s="59" t="s">
        <v>721</v>
      </c>
      <c r="F27" s="508">
        <v>40</v>
      </c>
      <c r="G27" s="508">
        <v>40</v>
      </c>
      <c r="H27" s="508">
        <v>50</v>
      </c>
      <c r="I27" s="1476">
        <v>50</v>
      </c>
    </row>
    <row r="28" spans="2:9" ht="14.45" customHeight="1" thickBot="1">
      <c r="B28" s="80">
        <v>5311</v>
      </c>
      <c r="C28" s="61">
        <v>5163</v>
      </c>
      <c r="D28" s="60" t="s">
        <v>709</v>
      </c>
      <c r="E28" s="59" t="s">
        <v>722</v>
      </c>
      <c r="F28" s="508">
        <v>480</v>
      </c>
      <c r="G28" s="508">
        <v>480</v>
      </c>
      <c r="H28" s="508">
        <v>495</v>
      </c>
      <c r="I28" s="1476">
        <v>495</v>
      </c>
    </row>
    <row r="29" spans="2:9" ht="14.45" customHeight="1" thickBot="1">
      <c r="B29" s="80">
        <v>5311</v>
      </c>
      <c r="C29" s="61">
        <v>5164</v>
      </c>
      <c r="D29" s="60" t="s">
        <v>709</v>
      </c>
      <c r="E29" s="59" t="s">
        <v>208</v>
      </c>
      <c r="F29" s="508">
        <v>70</v>
      </c>
      <c r="G29" s="508">
        <v>70</v>
      </c>
      <c r="H29" s="508">
        <v>80</v>
      </c>
      <c r="I29" s="1476">
        <v>80</v>
      </c>
    </row>
    <row r="30" spans="2:9" ht="14.45" customHeight="1" thickBot="1">
      <c r="B30" s="80">
        <v>5311</v>
      </c>
      <c r="C30" s="61">
        <v>5167</v>
      </c>
      <c r="D30" s="60" t="s">
        <v>709</v>
      </c>
      <c r="E30" s="59" t="s">
        <v>106</v>
      </c>
      <c r="F30" s="508">
        <v>260</v>
      </c>
      <c r="G30" s="508">
        <f>260+20+50</f>
        <v>330</v>
      </c>
      <c r="H30" s="508">
        <v>400</v>
      </c>
      <c r="I30" s="1476">
        <v>400</v>
      </c>
    </row>
    <row r="31" spans="2:9" ht="14.45" hidden="1" customHeight="1" thickBot="1">
      <c r="B31" s="514">
        <v>5311</v>
      </c>
      <c r="C31" s="1322" t="s">
        <v>75</v>
      </c>
      <c r="D31" s="515" t="s">
        <v>709</v>
      </c>
      <c r="E31" s="516" t="s">
        <v>723</v>
      </c>
      <c r="F31" s="517">
        <v>0</v>
      </c>
      <c r="G31" s="517">
        <v>14</v>
      </c>
      <c r="H31" s="517">
        <v>0</v>
      </c>
      <c r="I31" s="1479">
        <v>0</v>
      </c>
    </row>
    <row r="32" spans="2:9" ht="14.45" customHeight="1" thickBot="1">
      <c r="B32" s="80">
        <v>5311</v>
      </c>
      <c r="C32" s="61">
        <v>5169</v>
      </c>
      <c r="D32" s="60" t="s">
        <v>709</v>
      </c>
      <c r="E32" s="59" t="s">
        <v>211</v>
      </c>
      <c r="F32" s="508">
        <v>650</v>
      </c>
      <c r="G32" s="508">
        <f>650-50</f>
        <v>600</v>
      </c>
      <c r="H32" s="508">
        <v>740</v>
      </c>
      <c r="I32" s="1476">
        <v>740</v>
      </c>
    </row>
    <row r="33" spans="1:9" ht="14.45" hidden="1" customHeight="1" thickBot="1">
      <c r="B33" s="514">
        <v>5311</v>
      </c>
      <c r="C33" s="1322" t="s">
        <v>56</v>
      </c>
      <c r="D33" s="515" t="s">
        <v>709</v>
      </c>
      <c r="E33" s="516" t="s">
        <v>724</v>
      </c>
      <c r="F33" s="517">
        <v>0</v>
      </c>
      <c r="G33" s="517">
        <v>8</v>
      </c>
      <c r="H33" s="517">
        <v>0</v>
      </c>
      <c r="I33" s="1479">
        <v>0</v>
      </c>
    </row>
    <row r="34" spans="1:9" ht="14.45" customHeight="1" thickBot="1">
      <c r="B34" s="80">
        <v>5311</v>
      </c>
      <c r="C34" s="61">
        <v>5171</v>
      </c>
      <c r="D34" s="60" t="s">
        <v>709</v>
      </c>
      <c r="E34" s="59" t="s">
        <v>53</v>
      </c>
      <c r="F34" s="508">
        <v>510</v>
      </c>
      <c r="G34" s="816">
        <v>510</v>
      </c>
      <c r="H34" s="816">
        <v>540</v>
      </c>
      <c r="I34" s="1476">
        <v>540</v>
      </c>
    </row>
    <row r="35" spans="1:9" ht="14.45" customHeight="1" thickBot="1">
      <c r="B35" s="80">
        <v>5311</v>
      </c>
      <c r="C35" s="61">
        <v>5173</v>
      </c>
      <c r="D35" s="60" t="s">
        <v>709</v>
      </c>
      <c r="E35" s="59" t="s">
        <v>116</v>
      </c>
      <c r="F35" s="508">
        <v>40</v>
      </c>
      <c r="G35" s="508">
        <v>40</v>
      </c>
      <c r="H35" s="508">
        <v>40</v>
      </c>
      <c r="I35" s="1476">
        <v>40</v>
      </c>
    </row>
    <row r="36" spans="1:9" ht="14.45" customHeight="1" thickBot="1">
      <c r="B36" s="80">
        <v>5311</v>
      </c>
      <c r="C36" s="61">
        <v>5175</v>
      </c>
      <c r="D36" s="60" t="s">
        <v>709</v>
      </c>
      <c r="E36" s="59" t="s">
        <v>218</v>
      </c>
      <c r="F36" s="508">
        <v>30</v>
      </c>
      <c r="G36" s="508">
        <v>30</v>
      </c>
      <c r="H36" s="508">
        <f>100-60</f>
        <v>40</v>
      </c>
      <c r="I36" s="1476">
        <f>100-60</f>
        <v>40</v>
      </c>
    </row>
    <row r="37" spans="1:9" ht="14.45" customHeight="1" thickBot="1">
      <c r="B37" s="80">
        <v>5311</v>
      </c>
      <c r="C37" s="61" t="s">
        <v>511</v>
      </c>
      <c r="D37" s="60" t="s">
        <v>709</v>
      </c>
      <c r="E37" s="59" t="s">
        <v>512</v>
      </c>
      <c r="F37" s="508">
        <v>45</v>
      </c>
      <c r="G37" s="508">
        <v>45</v>
      </c>
      <c r="H37" s="508">
        <f>60-15</f>
        <v>45</v>
      </c>
      <c r="I37" s="1476">
        <f>60-15</f>
        <v>45</v>
      </c>
    </row>
    <row r="38" spans="1:9" ht="14.45" customHeight="1" thickBot="1">
      <c r="B38" s="80">
        <v>5311</v>
      </c>
      <c r="C38" s="61">
        <v>5361</v>
      </c>
      <c r="D38" s="60" t="s">
        <v>709</v>
      </c>
      <c r="E38" s="59" t="s">
        <v>725</v>
      </c>
      <c r="F38" s="508">
        <v>25</v>
      </c>
      <c r="G38" s="508">
        <v>25</v>
      </c>
      <c r="H38" s="508">
        <v>50</v>
      </c>
      <c r="I38" s="1476">
        <v>50</v>
      </c>
    </row>
    <row r="39" spans="1:9" ht="14.45" customHeight="1" thickBot="1">
      <c r="B39" s="80">
        <v>5311</v>
      </c>
      <c r="C39" s="61">
        <v>5362</v>
      </c>
      <c r="D39" s="60" t="s">
        <v>709</v>
      </c>
      <c r="E39" s="59" t="s">
        <v>726</v>
      </c>
      <c r="F39" s="508">
        <v>3</v>
      </c>
      <c r="G39" s="508">
        <v>3</v>
      </c>
      <c r="H39" s="508">
        <v>3</v>
      </c>
      <c r="I39" s="1476">
        <v>3</v>
      </c>
    </row>
    <row r="40" spans="1:9" ht="14.45" hidden="1" customHeight="1" thickBot="1">
      <c r="B40" s="514">
        <v>5311</v>
      </c>
      <c r="C40" s="1322" t="s">
        <v>727</v>
      </c>
      <c r="D40" s="515" t="s">
        <v>709</v>
      </c>
      <c r="E40" s="516" t="s">
        <v>728</v>
      </c>
      <c r="F40" s="517">
        <v>0</v>
      </c>
      <c r="G40" s="517">
        <v>752</v>
      </c>
      <c r="H40" s="517">
        <v>0</v>
      </c>
      <c r="I40" s="1480">
        <v>0</v>
      </c>
    </row>
    <row r="41" spans="1:9" ht="14.45" hidden="1" customHeight="1" thickBot="1">
      <c r="B41" s="514">
        <v>5311</v>
      </c>
      <c r="C41" s="1322" t="s">
        <v>729</v>
      </c>
      <c r="D41" s="515" t="s">
        <v>709</v>
      </c>
      <c r="E41" s="516" t="s">
        <v>730</v>
      </c>
      <c r="F41" s="517">
        <v>0</v>
      </c>
      <c r="G41" s="517">
        <v>188</v>
      </c>
      <c r="H41" s="517">
        <v>0</v>
      </c>
      <c r="I41" s="1480">
        <v>0</v>
      </c>
    </row>
    <row r="42" spans="1:9" ht="14.45" hidden="1" customHeight="1" thickBot="1">
      <c r="B42" s="514">
        <v>5311</v>
      </c>
      <c r="C42" s="1322" t="s">
        <v>731</v>
      </c>
      <c r="D42" s="515" t="s">
        <v>709</v>
      </c>
      <c r="E42" s="516" t="s">
        <v>732</v>
      </c>
      <c r="F42" s="517">
        <v>0</v>
      </c>
      <c r="G42" s="517">
        <v>68</v>
      </c>
      <c r="H42" s="517">
        <v>0</v>
      </c>
      <c r="I42" s="1480">
        <v>0</v>
      </c>
    </row>
    <row r="43" spans="1:9" ht="14.45" hidden="1" customHeight="1" thickBot="1">
      <c r="B43" s="514">
        <v>5311</v>
      </c>
      <c r="C43" s="1322" t="s">
        <v>75</v>
      </c>
      <c r="D43" s="515" t="s">
        <v>709</v>
      </c>
      <c r="E43" s="516" t="s">
        <v>733</v>
      </c>
      <c r="F43" s="517">
        <v>0</v>
      </c>
      <c r="G43" s="517">
        <v>12</v>
      </c>
      <c r="H43" s="517">
        <v>0</v>
      </c>
      <c r="I43" s="1480">
        <v>0</v>
      </c>
    </row>
    <row r="44" spans="1:9" ht="14.45" hidden="1" customHeight="1" thickBot="1">
      <c r="B44" s="514">
        <v>5311</v>
      </c>
      <c r="C44" s="1322" t="s">
        <v>56</v>
      </c>
      <c r="D44" s="515" t="s">
        <v>709</v>
      </c>
      <c r="E44" s="516" t="s">
        <v>734</v>
      </c>
      <c r="F44" s="517">
        <v>0</v>
      </c>
      <c r="G44" s="517">
        <v>12</v>
      </c>
      <c r="H44" s="517">
        <v>0</v>
      </c>
      <c r="I44" s="1480">
        <v>0</v>
      </c>
    </row>
    <row r="45" spans="1:9" ht="14.45" customHeight="1" thickTop="1" thickBot="1">
      <c r="A45" s="4">
        <v>501</v>
      </c>
      <c r="B45" s="1968" t="s">
        <v>735</v>
      </c>
      <c r="C45" s="1969"/>
      <c r="D45" s="1969"/>
      <c r="E45" s="1970"/>
      <c r="F45" s="6">
        <f>SUM(F7:F44)</f>
        <v>40485</v>
      </c>
      <c r="G45" s="6">
        <f>SUM(G7:G44)</f>
        <v>42274</v>
      </c>
      <c r="H45" s="6">
        <f>SUM(H7:H44)</f>
        <v>42559</v>
      </c>
      <c r="I45" s="45">
        <f>SUM(I7:I44)</f>
        <v>42559</v>
      </c>
    </row>
    <row r="46" spans="1:9" ht="14.45" customHeight="1" thickTop="1" thickBot="1">
      <c r="B46" s="109">
        <v>6171</v>
      </c>
      <c r="C46" s="85">
        <v>5192</v>
      </c>
      <c r="D46" s="86" t="s">
        <v>709</v>
      </c>
      <c r="E46" s="84" t="s">
        <v>736</v>
      </c>
      <c r="F46" s="518">
        <v>10</v>
      </c>
      <c r="G46" s="518">
        <v>10</v>
      </c>
      <c r="H46" s="518">
        <v>10</v>
      </c>
      <c r="I46" s="1327">
        <v>10</v>
      </c>
    </row>
    <row r="47" spans="1:9" ht="14.45" hidden="1" customHeight="1" thickBot="1">
      <c r="B47" s="1716">
        <v>6171</v>
      </c>
      <c r="C47" s="230" t="s">
        <v>474</v>
      </c>
      <c r="D47" s="137" t="s">
        <v>709</v>
      </c>
      <c r="E47" s="318" t="s">
        <v>737</v>
      </c>
      <c r="F47" s="519">
        <v>0</v>
      </c>
      <c r="G47" s="519">
        <v>16</v>
      </c>
      <c r="H47" s="519">
        <v>0</v>
      </c>
      <c r="I47" s="1481">
        <v>0</v>
      </c>
    </row>
    <row r="48" spans="1:9" ht="14.45" customHeight="1" thickBot="1">
      <c r="B48" s="284">
        <v>6171</v>
      </c>
      <c r="C48" s="137">
        <v>5222</v>
      </c>
      <c r="D48" s="137" t="s">
        <v>709</v>
      </c>
      <c r="E48" s="59" t="s">
        <v>738</v>
      </c>
      <c r="F48" s="508">
        <v>150</v>
      </c>
      <c r="G48" s="508">
        <v>150</v>
      </c>
      <c r="H48" s="508">
        <v>250</v>
      </c>
      <c r="I48" s="1482">
        <v>250</v>
      </c>
    </row>
    <row r="49" spans="1:9" ht="14.45" hidden="1" customHeight="1" thickBot="1">
      <c r="B49" s="284">
        <v>6171</v>
      </c>
      <c r="C49" s="137">
        <v>5222</v>
      </c>
      <c r="D49" s="137" t="s">
        <v>709</v>
      </c>
      <c r="E49" s="59" t="s">
        <v>739</v>
      </c>
      <c r="F49" s="508">
        <v>0</v>
      </c>
      <c r="G49" s="508">
        <v>20</v>
      </c>
      <c r="H49" s="508">
        <v>0</v>
      </c>
      <c r="I49" s="1482">
        <v>0</v>
      </c>
    </row>
    <row r="50" spans="1:9" ht="14.45" hidden="1" customHeight="1" thickBot="1">
      <c r="B50" s="284">
        <v>6171</v>
      </c>
      <c r="C50" s="137">
        <v>5222</v>
      </c>
      <c r="D50" s="137" t="s">
        <v>709</v>
      </c>
      <c r="E50" s="59" t="s">
        <v>740</v>
      </c>
      <c r="F50" s="508">
        <v>0</v>
      </c>
      <c r="G50" s="508">
        <v>24</v>
      </c>
      <c r="H50" s="508">
        <v>0</v>
      </c>
      <c r="I50" s="1482">
        <v>0</v>
      </c>
    </row>
    <row r="51" spans="1:9" ht="14.45" hidden="1" customHeight="1" thickBot="1">
      <c r="B51" s="284">
        <v>6171</v>
      </c>
      <c r="C51" s="137">
        <v>5222</v>
      </c>
      <c r="D51" s="137" t="s">
        <v>709</v>
      </c>
      <c r="E51" s="59" t="s">
        <v>741</v>
      </c>
      <c r="F51" s="508">
        <v>0</v>
      </c>
      <c r="G51" s="508">
        <v>0</v>
      </c>
      <c r="H51" s="508"/>
      <c r="I51" s="1482"/>
    </row>
    <row r="52" spans="1:9" ht="14.45" hidden="1" customHeight="1" thickBot="1">
      <c r="B52" s="284">
        <v>6171</v>
      </c>
      <c r="C52" s="137">
        <v>5222</v>
      </c>
      <c r="D52" s="137" t="s">
        <v>709</v>
      </c>
      <c r="E52" s="59" t="s">
        <v>742</v>
      </c>
      <c r="F52" s="508">
        <v>0</v>
      </c>
      <c r="G52" s="508">
        <v>0</v>
      </c>
      <c r="H52" s="508"/>
      <c r="I52" s="1482"/>
    </row>
    <row r="53" spans="1:9" ht="14.45" hidden="1" customHeight="1" thickBot="1">
      <c r="B53" s="284">
        <v>6171</v>
      </c>
      <c r="C53" s="137">
        <v>5222</v>
      </c>
      <c r="D53" s="137" t="s">
        <v>709</v>
      </c>
      <c r="E53" s="59" t="s">
        <v>743</v>
      </c>
      <c r="F53" s="508">
        <v>0</v>
      </c>
      <c r="G53" s="508">
        <v>0</v>
      </c>
      <c r="H53" s="508"/>
      <c r="I53" s="1482"/>
    </row>
    <row r="54" spans="1:9" ht="14.45" hidden="1" customHeight="1" thickBot="1">
      <c r="B54" s="284">
        <v>6171</v>
      </c>
      <c r="C54" s="137" t="s">
        <v>190</v>
      </c>
      <c r="D54" s="137" t="s">
        <v>709</v>
      </c>
      <c r="E54" s="59" t="s">
        <v>744</v>
      </c>
      <c r="F54" s="508">
        <v>0</v>
      </c>
      <c r="G54" s="508">
        <v>40</v>
      </c>
      <c r="H54" s="508">
        <v>0</v>
      </c>
      <c r="I54" s="1482">
        <v>0</v>
      </c>
    </row>
    <row r="55" spans="1:9" ht="14.45" customHeight="1" thickBot="1">
      <c r="B55" s="284">
        <v>6171</v>
      </c>
      <c r="C55" s="137">
        <v>5901</v>
      </c>
      <c r="D55" s="137" t="s">
        <v>709</v>
      </c>
      <c r="E55" s="59" t="s">
        <v>745</v>
      </c>
      <c r="F55" s="508">
        <v>200</v>
      </c>
      <c r="G55" s="508">
        <f>200-100-22</f>
        <v>78</v>
      </c>
      <c r="H55" s="508">
        <v>350</v>
      </c>
      <c r="I55" s="1482">
        <v>350</v>
      </c>
    </row>
    <row r="56" spans="1:9" ht="14.45" customHeight="1" thickBot="1">
      <c r="B56" s="284">
        <v>6171</v>
      </c>
      <c r="C56" s="137">
        <v>5901</v>
      </c>
      <c r="D56" s="137" t="s">
        <v>709</v>
      </c>
      <c r="E56" s="59" t="s">
        <v>746</v>
      </c>
      <c r="F56" s="508">
        <v>0</v>
      </c>
      <c r="G56" s="508">
        <v>84</v>
      </c>
      <c r="H56" s="508">
        <v>0</v>
      </c>
      <c r="I56" s="1482">
        <v>0</v>
      </c>
    </row>
    <row r="57" spans="1:9" ht="14.45" customHeight="1" thickBot="1">
      <c r="B57" s="284" t="s">
        <v>580</v>
      </c>
      <c r="C57" s="137">
        <v>5163</v>
      </c>
      <c r="D57" s="137">
        <v>2010</v>
      </c>
      <c r="E57" s="59" t="s">
        <v>747</v>
      </c>
      <c r="F57" s="508">
        <v>1</v>
      </c>
      <c r="G57" s="508">
        <v>1</v>
      </c>
      <c r="H57" s="508">
        <v>1</v>
      </c>
      <c r="I57" s="1482">
        <v>1</v>
      </c>
    </row>
    <row r="58" spans="1:9" ht="14.45" hidden="1" customHeight="1" thickBot="1">
      <c r="B58" s="284">
        <v>6171</v>
      </c>
      <c r="C58" s="137" t="s">
        <v>56</v>
      </c>
      <c r="D58" s="137" t="s">
        <v>748</v>
      </c>
      <c r="E58" s="59" t="s">
        <v>749</v>
      </c>
      <c r="F58" s="508">
        <v>0</v>
      </c>
      <c r="G58" s="508">
        <v>65.033000000000001</v>
      </c>
      <c r="H58" s="508">
        <v>0</v>
      </c>
      <c r="I58" s="1482">
        <v>0</v>
      </c>
    </row>
    <row r="59" spans="1:9" ht="14.45" customHeight="1" thickBot="1">
      <c r="B59" s="1715">
        <v>6171</v>
      </c>
      <c r="C59" s="104">
        <v>5499</v>
      </c>
      <c r="D59" s="137" t="s">
        <v>748</v>
      </c>
      <c r="E59" s="105" t="s">
        <v>750</v>
      </c>
      <c r="F59" s="508">
        <v>400</v>
      </c>
      <c r="G59" s="508">
        <f>400-65.033</f>
        <v>334.96699999999998</v>
      </c>
      <c r="H59" s="508">
        <v>420</v>
      </c>
      <c r="I59" s="1482">
        <v>420</v>
      </c>
    </row>
    <row r="60" spans="1:9" ht="14.45" customHeight="1" thickTop="1" thickBot="1">
      <c r="A60" s="4">
        <v>502</v>
      </c>
      <c r="B60" s="1968" t="s">
        <v>751</v>
      </c>
      <c r="C60" s="1969"/>
      <c r="D60" s="1969"/>
      <c r="E60" s="1970"/>
      <c r="F60" s="6">
        <f>SUM(F46:F59)</f>
        <v>761</v>
      </c>
      <c r="G60" s="6">
        <f>SUM(G46:G59)</f>
        <v>823</v>
      </c>
      <c r="H60" s="6">
        <f>SUM(H46:H59)</f>
        <v>1031</v>
      </c>
      <c r="I60" s="45">
        <f>SUM(I46:I59)</f>
        <v>1031</v>
      </c>
    </row>
    <row r="61" spans="1:9" s="20" customFormat="1" ht="6" customHeight="1" thickTop="1" thickBot="1">
      <c r="A61" s="23"/>
      <c r="B61" s="22"/>
      <c r="C61" s="22"/>
      <c r="D61" s="21"/>
      <c r="F61" s="18"/>
      <c r="G61" s="18"/>
      <c r="H61" s="18"/>
      <c r="I61" s="18"/>
    </row>
    <row r="62" spans="1:9" s="16" customFormat="1" ht="14.45" customHeight="1" thickTop="1" thickBot="1">
      <c r="A62" s="151"/>
      <c r="E62" s="15" t="s">
        <v>30</v>
      </c>
      <c r="F62" s="14">
        <f>SUM(F45,F60)</f>
        <v>41246</v>
      </c>
      <c r="G62" s="14">
        <f>SUM(G45,G60)</f>
        <v>43097</v>
      </c>
      <c r="H62" s="14">
        <f>SUM(H45,H60)</f>
        <v>43590</v>
      </c>
      <c r="I62" s="47">
        <f>SUM(I45,I60)</f>
        <v>43590</v>
      </c>
    </row>
    <row r="63" spans="1:9" s="155" customFormat="1" ht="9.75" customHeight="1" thickTop="1">
      <c r="A63" s="10"/>
      <c r="F63" s="268"/>
      <c r="G63" s="268"/>
      <c r="H63" s="268"/>
      <c r="I63" s="268"/>
    </row>
    <row r="64" spans="1:9" s="155" customFormat="1" ht="14.45" hidden="1" customHeight="1">
      <c r="A64" s="10"/>
      <c r="F64" s="268"/>
      <c r="G64" s="268"/>
      <c r="H64" s="268"/>
      <c r="I64" s="268"/>
    </row>
    <row r="65" spans="1:9" s="155" customFormat="1" ht="14.45" hidden="1" customHeight="1">
      <c r="A65" s="10"/>
      <c r="F65" s="268"/>
      <c r="G65" s="268"/>
      <c r="H65" s="268"/>
      <c r="I65" s="268"/>
    </row>
    <row r="66" spans="1:9" ht="12.75" hidden="1" customHeight="1"/>
    <row r="67" spans="1:9" ht="16.5" hidden="1" customHeight="1" thickTop="1">
      <c r="B67" s="41"/>
      <c r="C67" s="40"/>
      <c r="D67" s="39"/>
      <c r="E67" s="520"/>
      <c r="F67" s="1974"/>
      <c r="G67" s="1974"/>
      <c r="H67" s="1974"/>
      <c r="I67" s="1709"/>
    </row>
    <row r="68" spans="1:9" ht="12.75" hidden="1" customHeight="1">
      <c r="B68" s="36" t="s">
        <v>42</v>
      </c>
      <c r="C68" s="35" t="s">
        <v>41</v>
      </c>
      <c r="D68" s="34" t="s">
        <v>40</v>
      </c>
      <c r="E68" s="33"/>
      <c r="F68" s="1975"/>
      <c r="G68" s="1975"/>
      <c r="H68" s="1975"/>
      <c r="I68" s="1710"/>
    </row>
    <row r="69" spans="1:9" ht="13.5" hidden="1" customHeight="1" thickBot="1">
      <c r="B69" s="31"/>
      <c r="C69" s="30"/>
      <c r="D69" s="29"/>
      <c r="E69" s="28" t="s">
        <v>38</v>
      </c>
      <c r="F69" s="1976"/>
      <c r="G69" s="1976"/>
      <c r="H69" s="1976"/>
      <c r="I69" s="1711"/>
    </row>
    <row r="70" spans="1:9" ht="14.25" hidden="1" customHeight="1" thickTop="1" thickBot="1">
      <c r="A70" s="4">
        <v>601</v>
      </c>
      <c r="B70" s="102">
        <v>5311</v>
      </c>
      <c r="C70" s="85">
        <v>6122</v>
      </c>
      <c r="D70" s="85" t="s">
        <v>709</v>
      </c>
      <c r="E70" s="521" t="s">
        <v>752</v>
      </c>
      <c r="F70" s="522"/>
      <c r="G70" s="522"/>
      <c r="H70" s="522"/>
      <c r="I70" s="522"/>
    </row>
    <row r="71" spans="1:9" ht="13.5" hidden="1" customHeight="1" thickBot="1">
      <c r="A71" s="4">
        <v>602</v>
      </c>
      <c r="B71" s="523">
        <v>5311</v>
      </c>
      <c r="C71" s="143">
        <v>6123</v>
      </c>
      <c r="D71" s="143" t="s">
        <v>709</v>
      </c>
      <c r="E71" s="524" t="s">
        <v>753</v>
      </c>
      <c r="F71" s="525"/>
      <c r="G71" s="525"/>
      <c r="H71" s="525"/>
      <c r="I71" s="525"/>
    </row>
    <row r="72" spans="1:9" ht="6" hidden="1" customHeight="1" thickTop="1" thickBot="1"/>
    <row r="73" spans="1:9" ht="16.5" hidden="1" customHeight="1" thickTop="1" thickBot="1">
      <c r="E73" s="15" t="s">
        <v>32</v>
      </c>
      <c r="F73" s="121"/>
      <c r="G73" s="121"/>
      <c r="H73" s="121"/>
      <c r="I73" s="121"/>
    </row>
    <row r="74" spans="1:9" ht="10.5" hidden="1" customHeight="1" thickTop="1" thickBot="1"/>
    <row r="75" spans="1:9" ht="16.5" hidden="1" customHeight="1" thickTop="1" thickBot="1">
      <c r="B75" s="9"/>
      <c r="C75" s="8"/>
      <c r="D75" s="8"/>
      <c r="E75" s="8" t="s">
        <v>754</v>
      </c>
      <c r="F75" s="154"/>
      <c r="G75" s="154"/>
      <c r="H75" s="154"/>
      <c r="I75" s="154"/>
    </row>
    <row r="76" spans="1:9" ht="12.75" hidden="1" customHeight="1"/>
    <row r="77" spans="1:9" ht="12.75" hidden="1" customHeight="1"/>
    <row r="78" spans="1:9" ht="15">
      <c r="A78" s="10"/>
      <c r="B78" s="155"/>
      <c r="C78" s="155"/>
      <c r="D78" s="155"/>
      <c r="E78" s="155"/>
      <c r="F78" s="268"/>
      <c r="G78" s="268"/>
      <c r="H78" s="268"/>
      <c r="I78" s="268"/>
    </row>
    <row r="79" spans="1:9" ht="15">
      <c r="A79" s="10"/>
      <c r="B79" s="155"/>
      <c r="C79" s="155"/>
      <c r="D79" s="155"/>
      <c r="E79" s="155"/>
      <c r="F79" s="268"/>
      <c r="G79" s="268"/>
      <c r="H79" s="268"/>
      <c r="I79" s="268"/>
    </row>
    <row r="80" spans="1:9" ht="13.5" thickBot="1"/>
    <row r="81" spans="1:9" ht="16.5" customHeight="1" thickTop="1" thickBot="1">
      <c r="B81" s="41"/>
      <c r="C81" s="40"/>
      <c r="D81" s="1470"/>
      <c r="E81" s="810"/>
      <c r="F81" s="1992" t="s">
        <v>44</v>
      </c>
      <c r="G81" s="1992" t="s">
        <v>43</v>
      </c>
      <c r="H81" s="1962" t="s">
        <v>1487</v>
      </c>
      <c r="I81" s="1971" t="s">
        <v>1488</v>
      </c>
    </row>
    <row r="82" spans="1:9" ht="13.5" thickBot="1">
      <c r="B82" s="36" t="s">
        <v>42</v>
      </c>
      <c r="C82" s="35" t="s">
        <v>41</v>
      </c>
      <c r="D82" s="1471" t="s">
        <v>40</v>
      </c>
      <c r="E82" s="811"/>
      <c r="F82" s="1993"/>
      <c r="G82" s="1993"/>
      <c r="H82" s="1963"/>
      <c r="I82" s="1972"/>
    </row>
    <row r="83" spans="1:9" ht="13.5" thickBot="1">
      <c r="B83" s="31"/>
      <c r="C83" s="30"/>
      <c r="D83" s="1472"/>
      <c r="E83" s="1473" t="s">
        <v>38</v>
      </c>
      <c r="F83" s="1994"/>
      <c r="G83" s="1994"/>
      <c r="H83" s="1964"/>
      <c r="I83" s="1973"/>
    </row>
    <row r="84" spans="1:9" ht="16.5" customHeight="1" thickTop="1" thickBot="1">
      <c r="A84" s="4">
        <v>605</v>
      </c>
      <c r="B84" s="1686" t="s">
        <v>1443</v>
      </c>
      <c r="C84" s="1687" t="s">
        <v>160</v>
      </c>
      <c r="D84" s="1687" t="s">
        <v>709</v>
      </c>
      <c r="E84" s="950" t="s">
        <v>760</v>
      </c>
      <c r="F84" s="880">
        <v>200</v>
      </c>
      <c r="G84" s="880">
        <v>200</v>
      </c>
      <c r="H84" s="880">
        <v>250</v>
      </c>
      <c r="I84" s="1393">
        <v>250</v>
      </c>
    </row>
    <row r="85" spans="1:9" ht="15.75" hidden="1" customHeight="1" thickBot="1">
      <c r="A85" s="4">
        <v>603</v>
      </c>
      <c r="B85" s="1688"/>
      <c r="C85" s="1689"/>
      <c r="D85" s="1689"/>
      <c r="E85" s="381" t="s">
        <v>755</v>
      </c>
      <c r="F85" s="881">
        <v>0</v>
      </c>
      <c r="G85" s="881">
        <v>0</v>
      </c>
      <c r="H85" s="881"/>
      <c r="I85" s="1390"/>
    </row>
    <row r="86" spans="1:9" ht="15.75" hidden="1" customHeight="1" thickBot="1">
      <c r="A86" s="4">
        <v>604</v>
      </c>
      <c r="B86" s="1688"/>
      <c r="C86" s="1689"/>
      <c r="D86" s="1689"/>
      <c r="E86" s="381" t="s">
        <v>757</v>
      </c>
      <c r="F86" s="949">
        <v>0</v>
      </c>
      <c r="G86" s="949">
        <v>0</v>
      </c>
      <c r="H86" s="949"/>
      <c r="I86" s="1474"/>
    </row>
    <row r="87" spans="1:9" ht="13.5" customHeight="1" thickBot="1">
      <c r="A87" s="4">
        <v>606</v>
      </c>
      <c r="B87" s="1690" t="s">
        <v>1443</v>
      </c>
      <c r="C87" s="1691" t="s">
        <v>845</v>
      </c>
      <c r="D87" s="1691" t="s">
        <v>709</v>
      </c>
      <c r="E87" s="948" t="s">
        <v>761</v>
      </c>
      <c r="F87" s="558">
        <v>0</v>
      </c>
      <c r="G87" s="558">
        <v>0</v>
      </c>
      <c r="H87" s="558">
        <v>500</v>
      </c>
      <c r="I87" s="1464">
        <v>500</v>
      </c>
    </row>
    <row r="88" spans="1:9" s="20" customFormat="1" ht="6" customHeight="1" thickTop="1" thickBot="1">
      <c r="A88" s="23"/>
      <c r="B88" s="22"/>
      <c r="C88" s="22"/>
      <c r="D88" s="21"/>
      <c r="F88" s="18"/>
      <c r="G88" s="18"/>
      <c r="H88" s="18"/>
      <c r="I88" s="18"/>
    </row>
    <row r="89" spans="1:9" ht="16.5" thickTop="1" thickBot="1">
      <c r="E89" s="15" t="s">
        <v>32</v>
      </c>
      <c r="F89" s="14">
        <f>SUM(F84:F87)</f>
        <v>200</v>
      </c>
      <c r="G89" s="14">
        <f>SUM(G84:G87)</f>
        <v>200</v>
      </c>
      <c r="H89" s="14">
        <f>SUM(H84:H87)</f>
        <v>750</v>
      </c>
      <c r="I89" s="47">
        <f>SUM(I84:I87)</f>
        <v>750</v>
      </c>
    </row>
    <row r="90" spans="1:9" ht="7.5" customHeight="1" thickTop="1" thickBot="1"/>
    <row r="91" spans="1:9" ht="16.5" thickTop="1" thickBot="1">
      <c r="B91" s="9"/>
      <c r="C91" s="8"/>
      <c r="D91" s="8"/>
      <c r="E91" s="8" t="s">
        <v>754</v>
      </c>
      <c r="F91" s="6">
        <f>SUM(F62,F89)</f>
        <v>41446</v>
      </c>
      <c r="G91" s="6">
        <f>SUM(G62,G89)</f>
        <v>43297</v>
      </c>
      <c r="H91" s="6">
        <f>SUM(H62,H89)</f>
        <v>44340</v>
      </c>
      <c r="I91" s="45">
        <f>SUM(I62,I89)</f>
        <v>44340</v>
      </c>
    </row>
    <row r="92" spans="1:9" ht="13.5" thickTop="1"/>
  </sheetData>
  <mergeCells count="13">
    <mergeCell ref="I4:I6"/>
    <mergeCell ref="I81:I83"/>
    <mergeCell ref="G4:G6"/>
    <mergeCell ref="H4:H6"/>
    <mergeCell ref="F4:F6"/>
    <mergeCell ref="B45:E45"/>
    <mergeCell ref="G81:G83"/>
    <mergeCell ref="H81:H83"/>
    <mergeCell ref="F81:F83"/>
    <mergeCell ref="B60:E60"/>
    <mergeCell ref="F67:F69"/>
    <mergeCell ref="G67:G69"/>
    <mergeCell ref="H67:H69"/>
  </mergeCells>
  <printOptions horizontalCentered="1"/>
  <pageMargins left="0.78740157480314965" right="0.78740157480314965" top="0.78740157480314965" bottom="0.78740157480314965" header="0.39370078740157483" footer="0.39370078740157483"/>
  <pageSetup paperSize="9" scale="83" firstPageNumber="60" orientation="portrait" useFirstPageNumber="1" r:id="rId1"/>
  <headerFooter>
    <oddHeader>&amp;C&amp;"+,Tučné"II. Rozpis rozpočtu</oddHeader>
    <oddFooter>&amp;C&amp;"-,Obyčejné" &amp;P</oddFooter>
  </headerFooter>
  <ignoredErrors>
    <ignoredError sqref="G55 G59 F7:H11 F13:H37 F12 H12" unlockedFormula="1"/>
    <ignoredError sqref="G12" formula="1" unlockedFormula="1"/>
    <ignoredError sqref="C7:D44 B46:D59" numberStoredAsText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</sheetPr>
  <dimension ref="A1:O267"/>
  <sheetViews>
    <sheetView zoomScaleNormal="100" workbookViewId="0">
      <selection activeCell="J16" sqref="J16"/>
    </sheetView>
  </sheetViews>
  <sheetFormatPr defaultRowHeight="15"/>
  <cols>
    <col min="1" max="1" width="4" style="4" customWidth="1"/>
    <col min="2" max="4" width="5.7109375" style="12" customWidth="1"/>
    <col min="5" max="5" width="36.7109375" style="12" customWidth="1"/>
    <col min="6" max="6" width="9.85546875" style="2" customWidth="1"/>
    <col min="7" max="7" width="9.85546875" style="2" hidden="1" customWidth="1"/>
    <col min="8" max="9" width="9.85546875" style="2" customWidth="1"/>
    <col min="10" max="16384" width="9.140625" style="12"/>
  </cols>
  <sheetData>
    <row r="1" spans="1:12" ht="15.75" customHeight="1">
      <c r="B1" s="3"/>
      <c r="C1" s="3"/>
      <c r="D1" s="3"/>
      <c r="E1" s="3"/>
    </row>
    <row r="2" spans="1:12" ht="15.75" customHeight="1">
      <c r="B2" s="3"/>
      <c r="C2" s="3"/>
      <c r="D2" s="3"/>
      <c r="E2" s="3"/>
    </row>
    <row r="3" spans="1:12" ht="15.75" customHeight="1" thickBot="1">
      <c r="B3" s="3"/>
      <c r="C3" s="3"/>
      <c r="D3" s="3"/>
      <c r="E3" s="3"/>
    </row>
    <row r="4" spans="1:12" ht="15.75" customHeight="1" thickTop="1">
      <c r="B4" s="41"/>
      <c r="C4" s="40"/>
      <c r="D4" s="39"/>
      <c r="E4" s="38"/>
      <c r="F4" s="1962" t="s">
        <v>44</v>
      </c>
      <c r="G4" s="1962" t="s">
        <v>43</v>
      </c>
      <c r="H4" s="1962" t="s">
        <v>1487</v>
      </c>
      <c r="I4" s="1971" t="s">
        <v>1488</v>
      </c>
    </row>
    <row r="5" spans="1:12" ht="15.75" customHeight="1">
      <c r="A5" s="4" t="s">
        <v>120</v>
      </c>
      <c r="B5" s="36" t="s">
        <v>42</v>
      </c>
      <c r="C5" s="35" t="s">
        <v>41</v>
      </c>
      <c r="D5" s="34" t="s">
        <v>40</v>
      </c>
      <c r="E5" s="33"/>
      <c r="F5" s="1963"/>
      <c r="G5" s="1963"/>
      <c r="H5" s="1963"/>
      <c r="I5" s="1972"/>
    </row>
    <row r="6" spans="1:12" ht="15.75" customHeight="1" thickBot="1">
      <c r="B6" s="31"/>
      <c r="C6" s="30"/>
      <c r="D6" s="29"/>
      <c r="E6" s="28" t="s">
        <v>38</v>
      </c>
      <c r="F6" s="1964"/>
      <c r="G6" s="1964"/>
      <c r="H6" s="1964"/>
      <c r="I6" s="1973"/>
      <c r="J6" s="1"/>
      <c r="K6" s="1"/>
      <c r="L6" s="1"/>
    </row>
    <row r="7" spans="1:12" ht="15.75" customHeight="1" thickTop="1" thickBot="1">
      <c r="B7" s="80">
        <v>6171</v>
      </c>
      <c r="C7" s="61">
        <v>5137</v>
      </c>
      <c r="D7" s="60" t="s">
        <v>756</v>
      </c>
      <c r="E7" s="59" t="s">
        <v>551</v>
      </c>
      <c r="F7" s="598">
        <v>2750</v>
      </c>
      <c r="G7" s="598">
        <v>2750</v>
      </c>
      <c r="H7" s="598">
        <v>2100</v>
      </c>
      <c r="I7" s="1467">
        <v>2100</v>
      </c>
    </row>
    <row r="8" spans="1:12" ht="15.75" customHeight="1" thickBot="1">
      <c r="B8" s="80">
        <v>6171</v>
      </c>
      <c r="C8" s="61">
        <v>5139</v>
      </c>
      <c r="D8" s="60" t="s">
        <v>756</v>
      </c>
      <c r="E8" s="59" t="s">
        <v>50</v>
      </c>
      <c r="F8" s="598">
        <v>1300</v>
      </c>
      <c r="G8" s="598">
        <v>1300</v>
      </c>
      <c r="H8" s="598">
        <v>2000</v>
      </c>
      <c r="I8" s="1467">
        <v>2000</v>
      </c>
    </row>
    <row r="9" spans="1:12" ht="15.75" customHeight="1" thickBot="1">
      <c r="B9" s="80">
        <v>6171</v>
      </c>
      <c r="C9" s="61" t="s">
        <v>365</v>
      </c>
      <c r="D9" s="60" t="s">
        <v>756</v>
      </c>
      <c r="E9" s="59" t="s">
        <v>854</v>
      </c>
      <c r="F9" s="598">
        <v>5</v>
      </c>
      <c r="G9" s="598">
        <v>5</v>
      </c>
      <c r="H9" s="598">
        <v>2</v>
      </c>
      <c r="I9" s="1467">
        <v>2</v>
      </c>
    </row>
    <row r="10" spans="1:12" ht="15.75" customHeight="1" thickBot="1">
      <c r="B10" s="80">
        <v>6171</v>
      </c>
      <c r="C10" s="61">
        <v>5162</v>
      </c>
      <c r="D10" s="60" t="s">
        <v>756</v>
      </c>
      <c r="E10" s="59" t="s">
        <v>855</v>
      </c>
      <c r="F10" s="598">
        <v>3200</v>
      </c>
      <c r="G10" s="598">
        <v>3200</v>
      </c>
      <c r="H10" s="598">
        <v>3314.1120000000001</v>
      </c>
      <c r="I10" s="1467">
        <v>3314.1120000000001</v>
      </c>
    </row>
    <row r="11" spans="1:12" ht="15.75" customHeight="1" thickBot="1">
      <c r="B11" s="80">
        <v>6171</v>
      </c>
      <c r="C11" s="61" t="s">
        <v>193</v>
      </c>
      <c r="D11" s="60" t="s">
        <v>756</v>
      </c>
      <c r="E11" s="59" t="s">
        <v>856</v>
      </c>
      <c r="F11" s="598">
        <v>180</v>
      </c>
      <c r="G11" s="598">
        <v>180</v>
      </c>
      <c r="H11" s="598">
        <v>0</v>
      </c>
      <c r="I11" s="1467">
        <v>0</v>
      </c>
    </row>
    <row r="12" spans="1:12" ht="15.75" customHeight="1" thickBot="1">
      <c r="B12" s="80">
        <v>6171</v>
      </c>
      <c r="C12" s="61">
        <v>5167</v>
      </c>
      <c r="D12" s="60" t="s">
        <v>756</v>
      </c>
      <c r="E12" s="59" t="s">
        <v>106</v>
      </c>
      <c r="F12" s="598">
        <v>100</v>
      </c>
      <c r="G12" s="598">
        <f>100-0.815</f>
        <v>99.185000000000002</v>
      </c>
      <c r="H12" s="598">
        <v>100</v>
      </c>
      <c r="I12" s="1467">
        <v>100</v>
      </c>
    </row>
    <row r="13" spans="1:12" ht="15.75" customHeight="1" thickBot="1">
      <c r="B13" s="80">
        <v>6171</v>
      </c>
      <c r="C13" s="61">
        <v>5168</v>
      </c>
      <c r="D13" s="60" t="s">
        <v>756</v>
      </c>
      <c r="E13" s="59" t="s">
        <v>857</v>
      </c>
      <c r="F13" s="598">
        <v>1100</v>
      </c>
      <c r="G13" s="598">
        <v>1100</v>
      </c>
      <c r="H13" s="598">
        <v>912.03599999999994</v>
      </c>
      <c r="I13" s="1467">
        <v>912.03599999999994</v>
      </c>
    </row>
    <row r="14" spans="1:12" ht="15.75" customHeight="1" thickBot="1">
      <c r="B14" s="80">
        <v>6171</v>
      </c>
      <c r="C14" s="61">
        <v>5168</v>
      </c>
      <c r="D14" s="60" t="s">
        <v>756</v>
      </c>
      <c r="E14" s="59" t="s">
        <v>858</v>
      </c>
      <c r="F14" s="598">
        <v>0</v>
      </c>
      <c r="G14" s="598">
        <v>396</v>
      </c>
      <c r="H14" s="598">
        <v>0</v>
      </c>
      <c r="I14" s="1467">
        <v>0</v>
      </c>
    </row>
    <row r="15" spans="1:12" ht="15.75" customHeight="1" thickBot="1">
      <c r="B15" s="80">
        <v>6171</v>
      </c>
      <c r="C15" s="61">
        <v>5169</v>
      </c>
      <c r="D15" s="60" t="s">
        <v>756</v>
      </c>
      <c r="E15" s="59" t="s">
        <v>83</v>
      </c>
      <c r="F15" s="598">
        <v>6923</v>
      </c>
      <c r="G15" s="598">
        <f>6923-2.42-17.472</f>
        <v>6903.1080000000002</v>
      </c>
      <c r="H15" s="598">
        <v>6507.2280000000001</v>
      </c>
      <c r="I15" s="1467">
        <v>6507.2280000000001</v>
      </c>
    </row>
    <row r="16" spans="1:12" ht="15.75" customHeight="1" thickBot="1">
      <c r="B16" s="80">
        <v>6171</v>
      </c>
      <c r="C16" s="61">
        <v>5169</v>
      </c>
      <c r="D16" s="60" t="s">
        <v>756</v>
      </c>
      <c r="E16" s="59" t="s">
        <v>1490</v>
      </c>
      <c r="F16" s="598">
        <v>0</v>
      </c>
      <c r="G16" s="598">
        <v>0</v>
      </c>
      <c r="H16" s="598">
        <v>0</v>
      </c>
      <c r="I16" s="1467">
        <v>101.64</v>
      </c>
      <c r="J16" s="971"/>
    </row>
    <row r="17" spans="1:15" ht="27.75" customHeight="1" thickBot="1">
      <c r="B17" s="80">
        <v>6171</v>
      </c>
      <c r="C17" s="61">
        <v>5169</v>
      </c>
      <c r="D17" s="61" t="s">
        <v>848</v>
      </c>
      <c r="E17" s="283" t="s">
        <v>849</v>
      </c>
      <c r="F17" s="598">
        <v>742</v>
      </c>
      <c r="G17" s="598">
        <v>742</v>
      </c>
      <c r="H17" s="598">
        <v>548.24400000000003</v>
      </c>
      <c r="I17" s="1467">
        <v>548.24400000000003</v>
      </c>
    </row>
    <row r="18" spans="1:15" ht="27.75" hidden="1" customHeight="1" thickBot="1">
      <c r="B18" s="80">
        <v>6171</v>
      </c>
      <c r="C18" s="61">
        <v>5169</v>
      </c>
      <c r="D18" s="61" t="s">
        <v>848</v>
      </c>
      <c r="E18" s="283" t="s">
        <v>850</v>
      </c>
      <c r="F18" s="598">
        <v>0</v>
      </c>
      <c r="G18" s="598">
        <v>630.07000000000005</v>
      </c>
      <c r="H18" s="598">
        <v>0</v>
      </c>
      <c r="I18" s="1467">
        <v>0</v>
      </c>
    </row>
    <row r="19" spans="1:15" ht="39.75" customHeight="1" thickBot="1">
      <c r="B19" s="80">
        <v>6171</v>
      </c>
      <c r="C19" s="61">
        <v>5169</v>
      </c>
      <c r="D19" s="61" t="s">
        <v>851</v>
      </c>
      <c r="E19" s="599" t="s">
        <v>852</v>
      </c>
      <c r="F19" s="598">
        <v>4436</v>
      </c>
      <c r="G19" s="598">
        <f>4436+249.524</f>
        <v>4685.5240000000003</v>
      </c>
      <c r="H19" s="598">
        <v>4840.0320000000002</v>
      </c>
      <c r="I19" s="1467">
        <v>4840.0320000000002</v>
      </c>
    </row>
    <row r="20" spans="1:15" ht="39.75" hidden="1" customHeight="1" thickBot="1">
      <c r="B20" s="80">
        <v>6171</v>
      </c>
      <c r="C20" s="61">
        <v>5169</v>
      </c>
      <c r="D20" s="61" t="s">
        <v>851</v>
      </c>
      <c r="E20" s="599" t="s">
        <v>853</v>
      </c>
      <c r="F20" s="598">
        <v>0</v>
      </c>
      <c r="G20" s="598">
        <v>1330.046</v>
      </c>
      <c r="H20" s="598">
        <v>0</v>
      </c>
      <c r="I20" s="1467">
        <v>0</v>
      </c>
    </row>
    <row r="21" spans="1:15" ht="15.75" customHeight="1" thickBot="1">
      <c r="B21" s="80">
        <v>6171</v>
      </c>
      <c r="C21" s="61">
        <v>5169</v>
      </c>
      <c r="D21" s="61" t="s">
        <v>859</v>
      </c>
      <c r="E21" s="600" t="s">
        <v>860</v>
      </c>
      <c r="F21" s="598">
        <v>1172</v>
      </c>
      <c r="G21" s="598">
        <f>1172+90</f>
        <v>1262</v>
      </c>
      <c r="H21" s="598">
        <v>0</v>
      </c>
      <c r="I21" s="1467">
        <v>0</v>
      </c>
    </row>
    <row r="22" spans="1:15" ht="25.5" hidden="1" customHeight="1" thickBot="1">
      <c r="B22" s="80">
        <v>6171</v>
      </c>
      <c r="C22" s="61">
        <v>5169</v>
      </c>
      <c r="D22" s="61" t="s">
        <v>859</v>
      </c>
      <c r="E22" s="599" t="s">
        <v>861</v>
      </c>
      <c r="F22" s="598">
        <v>0</v>
      </c>
      <c r="G22" s="598">
        <v>81.64</v>
      </c>
      <c r="H22" s="598">
        <v>0</v>
      </c>
      <c r="I22" s="1467">
        <v>0</v>
      </c>
    </row>
    <row r="23" spans="1:15" ht="27.75" hidden="1" customHeight="1" thickBot="1">
      <c r="B23" s="80">
        <v>6171</v>
      </c>
      <c r="C23" s="61" t="s">
        <v>56</v>
      </c>
      <c r="D23" s="60" t="s">
        <v>756</v>
      </c>
      <c r="E23" s="283" t="s">
        <v>862</v>
      </c>
      <c r="F23" s="598">
        <v>0</v>
      </c>
      <c r="G23" s="598">
        <v>110</v>
      </c>
      <c r="H23" s="598">
        <v>0</v>
      </c>
      <c r="I23" s="1467">
        <v>0</v>
      </c>
    </row>
    <row r="24" spans="1:15" ht="15.75" customHeight="1" thickBot="1">
      <c r="B24" s="80">
        <v>6171</v>
      </c>
      <c r="C24" s="61">
        <v>5171</v>
      </c>
      <c r="D24" s="60" t="s">
        <v>756</v>
      </c>
      <c r="E24" s="59" t="s">
        <v>53</v>
      </c>
      <c r="F24" s="598">
        <v>350</v>
      </c>
      <c r="G24" s="598">
        <f>350-0.86079-0.21</f>
        <v>348.92921000000001</v>
      </c>
      <c r="H24" s="598">
        <v>350</v>
      </c>
      <c r="I24" s="1467">
        <v>350</v>
      </c>
    </row>
    <row r="25" spans="1:15" ht="15.75" customHeight="1" thickBot="1">
      <c r="B25" s="80">
        <v>6171</v>
      </c>
      <c r="C25" s="61">
        <v>5172</v>
      </c>
      <c r="D25" s="60" t="s">
        <v>756</v>
      </c>
      <c r="E25" s="59" t="s">
        <v>863</v>
      </c>
      <c r="F25" s="598">
        <v>200</v>
      </c>
      <c r="G25" s="598">
        <v>200</v>
      </c>
      <c r="H25" s="598">
        <v>200</v>
      </c>
      <c r="I25" s="1467">
        <v>200</v>
      </c>
    </row>
    <row r="26" spans="1:15" ht="15.75" customHeight="1" thickBot="1">
      <c r="B26" s="141">
        <v>6171</v>
      </c>
      <c r="C26" s="143" t="s">
        <v>209</v>
      </c>
      <c r="D26" s="142" t="s">
        <v>756</v>
      </c>
      <c r="E26" s="144" t="s">
        <v>210</v>
      </c>
      <c r="F26" s="601">
        <v>0</v>
      </c>
      <c r="G26" s="601">
        <v>1.8149999999999999</v>
      </c>
      <c r="H26" s="601">
        <v>10</v>
      </c>
      <c r="I26" s="1468">
        <v>10</v>
      </c>
    </row>
    <row r="27" spans="1:15" ht="15.75" hidden="1" customHeight="1" thickBot="1">
      <c r="B27" s="623">
        <v>6171</v>
      </c>
      <c r="C27" s="624" t="s">
        <v>864</v>
      </c>
      <c r="D27" s="317" t="s">
        <v>756</v>
      </c>
      <c r="E27" s="1730" t="s">
        <v>865</v>
      </c>
      <c r="F27" s="1731">
        <v>0</v>
      </c>
      <c r="G27" s="1731">
        <v>17.472000000000001</v>
      </c>
      <c r="H27" s="1731">
        <v>0</v>
      </c>
      <c r="I27" s="1732">
        <v>0</v>
      </c>
    </row>
    <row r="28" spans="1:15" ht="15.75" hidden="1" customHeight="1" thickBot="1">
      <c r="B28" s="141">
        <v>6171</v>
      </c>
      <c r="C28" s="143" t="s">
        <v>502</v>
      </c>
      <c r="D28" s="142">
        <v>291</v>
      </c>
      <c r="E28" s="144" t="s">
        <v>866</v>
      </c>
      <c r="F28" s="601">
        <v>0</v>
      </c>
      <c r="G28" s="601">
        <v>2.42</v>
      </c>
      <c r="H28" s="601">
        <v>0</v>
      </c>
      <c r="I28" s="1468">
        <v>0</v>
      </c>
    </row>
    <row r="29" spans="1:15" s="286" customFormat="1" ht="6" customHeight="1" thickTop="1" thickBot="1">
      <c r="A29" s="23"/>
      <c r="B29" s="22"/>
      <c r="C29" s="22"/>
      <c r="D29" s="21"/>
      <c r="E29" s="20"/>
      <c r="F29" s="18"/>
      <c r="G29" s="18"/>
      <c r="H29" s="18"/>
      <c r="I29" s="18"/>
    </row>
    <row r="30" spans="1:15" s="16" customFormat="1" ht="15.75" customHeight="1" thickTop="1" thickBot="1">
      <c r="A30" s="108">
        <v>501</v>
      </c>
      <c r="E30" s="15" t="s">
        <v>30</v>
      </c>
      <c r="F30" s="120">
        <f>SUM(F7:F28)</f>
        <v>22458</v>
      </c>
      <c r="G30" s="120">
        <f>SUM(G7:G28)</f>
        <v>25345.209209999997</v>
      </c>
      <c r="H30" s="120">
        <f>SUM(H7:H28)</f>
        <v>20883.652000000002</v>
      </c>
      <c r="I30" s="121">
        <f>SUM(I7:I28)</f>
        <v>20985.292000000001</v>
      </c>
    </row>
    <row r="31" spans="1:15" s="439" customFormat="1" ht="15.75" thickTop="1">
      <c r="A31" s="4"/>
      <c r="B31" s="3"/>
      <c r="C31" s="3"/>
      <c r="D31" s="3"/>
      <c r="E31" s="3"/>
      <c r="F31" s="2"/>
      <c r="G31" s="2"/>
      <c r="H31" s="2"/>
      <c r="I31" s="2"/>
      <c r="J31" s="12"/>
      <c r="K31" s="12"/>
      <c r="L31" s="12"/>
      <c r="M31" s="12"/>
      <c r="N31" s="12"/>
      <c r="O31" s="12"/>
    </row>
    <row r="32" spans="1:15" s="439" customFormat="1">
      <c r="A32" s="4"/>
      <c r="B32" s="3"/>
      <c r="C32" s="3"/>
      <c r="D32" s="3"/>
      <c r="E32" s="3"/>
      <c r="F32" s="2"/>
      <c r="G32" s="2"/>
      <c r="H32" s="2"/>
      <c r="I32" s="2"/>
      <c r="J32" s="12"/>
      <c r="K32" s="12"/>
      <c r="L32" s="12"/>
      <c r="M32" s="12"/>
      <c r="N32" s="12"/>
      <c r="O32" s="12"/>
    </row>
    <row r="33" spans="1:15" s="439" customFormat="1">
      <c r="A33" s="4"/>
      <c r="B33" s="3"/>
      <c r="C33" s="3"/>
      <c r="D33" s="3"/>
      <c r="E33" s="3"/>
      <c r="F33" s="2"/>
      <c r="G33" s="2"/>
      <c r="H33" s="2"/>
      <c r="I33" s="2"/>
      <c r="J33" s="12"/>
      <c r="K33" s="12"/>
      <c r="L33" s="12"/>
      <c r="M33" s="12"/>
      <c r="N33" s="12"/>
      <c r="O33" s="12"/>
    </row>
    <row r="34" spans="1:15" s="439" customFormat="1" ht="15.75" thickBot="1">
      <c r="A34" s="4"/>
      <c r="B34" s="3"/>
      <c r="C34" s="3"/>
      <c r="D34" s="3"/>
      <c r="E34" s="3"/>
      <c r="F34" s="97"/>
      <c r="G34" s="97"/>
      <c r="H34" s="97"/>
      <c r="I34" s="97"/>
      <c r="J34" s="12"/>
      <c r="K34" s="12"/>
      <c r="L34" s="12"/>
      <c r="M34" s="12"/>
      <c r="N34" s="12"/>
      <c r="O34" s="12"/>
    </row>
    <row r="35" spans="1:15" s="439" customFormat="1" ht="15.75" customHeight="1" thickTop="1">
      <c r="A35" s="4"/>
      <c r="B35" s="41"/>
      <c r="C35" s="40"/>
      <c r="D35" s="39"/>
      <c r="E35" s="38"/>
      <c r="F35" s="1965" t="s">
        <v>44</v>
      </c>
      <c r="G35" s="1965" t="s">
        <v>43</v>
      </c>
      <c r="H35" s="1962" t="s">
        <v>1487</v>
      </c>
      <c r="I35" s="1971" t="s">
        <v>1488</v>
      </c>
      <c r="J35" s="12"/>
      <c r="K35" s="12"/>
      <c r="L35" s="12"/>
      <c r="M35" s="12"/>
      <c r="N35" s="12"/>
      <c r="O35" s="12"/>
    </row>
    <row r="36" spans="1:15" s="439" customFormat="1">
      <c r="A36" s="4"/>
      <c r="B36" s="36" t="s">
        <v>42</v>
      </c>
      <c r="C36" s="35" t="s">
        <v>41</v>
      </c>
      <c r="D36" s="34" t="s">
        <v>40</v>
      </c>
      <c r="E36" s="33"/>
      <c r="F36" s="1966"/>
      <c r="G36" s="1966"/>
      <c r="H36" s="1963"/>
      <c r="I36" s="1972"/>
      <c r="J36" s="12"/>
      <c r="K36" s="12"/>
      <c r="L36" s="12"/>
      <c r="M36" s="12"/>
      <c r="N36" s="12"/>
      <c r="O36" s="12"/>
    </row>
    <row r="37" spans="1:15" s="439" customFormat="1" ht="15.75" thickBot="1">
      <c r="A37" s="4"/>
      <c r="B37" s="31"/>
      <c r="C37" s="30"/>
      <c r="D37" s="29"/>
      <c r="E37" s="28" t="s">
        <v>38</v>
      </c>
      <c r="F37" s="1967"/>
      <c r="G37" s="1967"/>
      <c r="H37" s="1964"/>
      <c r="I37" s="1973"/>
      <c r="J37" s="12"/>
      <c r="K37" s="12"/>
      <c r="L37" s="12"/>
      <c r="M37" s="12"/>
      <c r="N37" s="12"/>
      <c r="O37" s="12"/>
    </row>
    <row r="38" spans="1:15" s="439" customFormat="1" ht="16.5" customHeight="1" thickTop="1" thickBot="1">
      <c r="A38" s="4">
        <v>610</v>
      </c>
      <c r="B38" s="1717">
        <v>6171</v>
      </c>
      <c r="C38" s="1718">
        <v>6111</v>
      </c>
      <c r="D38" s="907" t="s">
        <v>756</v>
      </c>
      <c r="E38" s="950" t="s">
        <v>867</v>
      </c>
      <c r="F38" s="880">
        <v>2100</v>
      </c>
      <c r="G38" s="880">
        <v>2100</v>
      </c>
      <c r="H38" s="880">
        <v>600</v>
      </c>
      <c r="I38" s="1393">
        <v>600</v>
      </c>
      <c r="J38" s="12"/>
      <c r="K38" s="12"/>
      <c r="L38" s="12"/>
      <c r="M38" s="12"/>
      <c r="N38" s="12"/>
      <c r="O38" s="12"/>
    </row>
    <row r="39" spans="1:15" s="439" customFormat="1" ht="16.5" customHeight="1" thickBot="1">
      <c r="A39" s="4"/>
      <c r="B39" s="842">
        <v>6171</v>
      </c>
      <c r="C39" s="843">
        <v>6111</v>
      </c>
      <c r="D39" s="844" t="s">
        <v>756</v>
      </c>
      <c r="E39" s="1721" t="s">
        <v>1491</v>
      </c>
      <c r="F39" s="560">
        <v>0</v>
      </c>
      <c r="G39" s="560">
        <v>0</v>
      </c>
      <c r="H39" s="560">
        <v>0</v>
      </c>
      <c r="I39" s="1359">
        <v>1406.4659999999999</v>
      </c>
      <c r="J39" s="971"/>
      <c r="K39" s="12"/>
      <c r="L39" s="12"/>
      <c r="M39" s="12"/>
      <c r="N39" s="12"/>
      <c r="O39" s="12"/>
    </row>
    <row r="40" spans="1:15" s="439" customFormat="1" ht="15.75" customHeight="1" thickBot="1">
      <c r="A40" s="4"/>
      <c r="B40" s="379">
        <v>6171</v>
      </c>
      <c r="C40" s="380">
        <v>6111</v>
      </c>
      <c r="D40" s="255" t="s">
        <v>756</v>
      </c>
      <c r="E40" s="381" t="s">
        <v>868</v>
      </c>
      <c r="F40" s="881">
        <v>0</v>
      </c>
      <c r="G40" s="881">
        <v>200</v>
      </c>
      <c r="H40" s="881">
        <v>200</v>
      </c>
      <c r="I40" s="1390">
        <v>200</v>
      </c>
      <c r="J40" s="12"/>
      <c r="K40" s="12"/>
      <c r="L40" s="12"/>
      <c r="M40" s="12"/>
      <c r="N40" s="12"/>
      <c r="O40" s="12"/>
    </row>
    <row r="41" spans="1:15" s="439" customFormat="1" ht="15.75" customHeight="1" thickBot="1">
      <c r="A41" s="4"/>
      <c r="B41" s="379">
        <v>6171</v>
      </c>
      <c r="C41" s="380">
        <v>6119</v>
      </c>
      <c r="D41" s="255" t="s">
        <v>756</v>
      </c>
      <c r="E41" s="381" t="s">
        <v>871</v>
      </c>
      <c r="F41" s="881">
        <v>800</v>
      </c>
      <c r="G41" s="881">
        <v>800</v>
      </c>
      <c r="H41" s="881">
        <v>0</v>
      </c>
      <c r="I41" s="1390">
        <v>0</v>
      </c>
      <c r="J41" s="12"/>
      <c r="K41" s="12"/>
      <c r="L41" s="12"/>
      <c r="M41" s="12"/>
      <c r="N41" s="12"/>
      <c r="O41" s="12"/>
    </row>
    <row r="42" spans="1:15" ht="15.75" customHeight="1" thickBot="1">
      <c r="B42" s="1719">
        <v>6171</v>
      </c>
      <c r="C42" s="1720">
        <v>6125</v>
      </c>
      <c r="D42" s="261" t="s">
        <v>756</v>
      </c>
      <c r="E42" s="948" t="s">
        <v>1104</v>
      </c>
      <c r="F42" s="558">
        <v>0</v>
      </c>
      <c r="G42" s="558">
        <v>0</v>
      </c>
      <c r="H42" s="558">
        <v>1050</v>
      </c>
      <c r="I42" s="1464">
        <v>1050</v>
      </c>
    </row>
    <row r="43" spans="1:15" s="439" customFormat="1" ht="15.75" customHeight="1" thickTop="1" thickBot="1">
      <c r="A43" s="4"/>
      <c r="B43" s="1857" t="s">
        <v>52</v>
      </c>
      <c r="C43" s="1858" t="s">
        <v>1189</v>
      </c>
      <c r="D43" s="1859" t="s">
        <v>1444</v>
      </c>
      <c r="E43" s="1860" t="s">
        <v>1185</v>
      </c>
      <c r="F43" s="1851">
        <v>0</v>
      </c>
      <c r="G43" s="1851">
        <v>0</v>
      </c>
      <c r="H43" s="1851">
        <f>SUM(H44:H45)</f>
        <v>10000</v>
      </c>
      <c r="I43" s="1852">
        <f>SUM(I44:I45)</f>
        <v>10000</v>
      </c>
      <c r="J43" s="12"/>
      <c r="K43" s="12"/>
      <c r="L43" s="12"/>
      <c r="M43" s="12"/>
      <c r="N43" s="12"/>
      <c r="O43" s="12"/>
    </row>
    <row r="44" spans="1:15" s="439" customFormat="1" ht="16.5" customHeight="1" thickTop="1" thickBot="1">
      <c r="A44" s="4"/>
      <c r="B44" s="2000" t="s">
        <v>1186</v>
      </c>
      <c r="C44" s="2000"/>
      <c r="D44" s="2000"/>
      <c r="E44" s="1861" t="s">
        <v>1103</v>
      </c>
      <c r="F44" s="1810">
        <v>0</v>
      </c>
      <c r="G44" s="1810">
        <v>0</v>
      </c>
      <c r="H44" s="1810">
        <v>4500</v>
      </c>
      <c r="I44" s="1811">
        <v>4500</v>
      </c>
      <c r="J44" s="12"/>
      <c r="K44" s="12"/>
      <c r="L44" s="12"/>
      <c r="M44" s="12"/>
      <c r="N44" s="12"/>
      <c r="O44" s="12"/>
    </row>
    <row r="45" spans="1:15" ht="15.75" customHeight="1" thickBot="1">
      <c r="A45" s="4">
        <v>612</v>
      </c>
      <c r="B45" s="2001"/>
      <c r="C45" s="2001"/>
      <c r="D45" s="2001"/>
      <c r="E45" s="1862" t="s">
        <v>869</v>
      </c>
      <c r="F45" s="1817">
        <v>5740</v>
      </c>
      <c r="G45" s="1817">
        <v>5740</v>
      </c>
      <c r="H45" s="1817">
        <v>5500</v>
      </c>
      <c r="I45" s="1818">
        <v>5500</v>
      </c>
    </row>
    <row r="46" spans="1:15" ht="16.5" thickTop="1" thickBot="1">
      <c r="B46" s="1723">
        <v>6171</v>
      </c>
      <c r="C46" s="1724">
        <v>6125</v>
      </c>
      <c r="D46" s="1725" t="s">
        <v>756</v>
      </c>
      <c r="E46" s="1726" t="s">
        <v>1492</v>
      </c>
      <c r="F46" s="1727">
        <v>0</v>
      </c>
      <c r="G46" s="1727">
        <v>0</v>
      </c>
      <c r="H46" s="1727">
        <v>0</v>
      </c>
      <c r="I46" s="1728">
        <v>3789.5929999999998</v>
      </c>
      <c r="J46" s="971"/>
    </row>
    <row r="47" spans="1:15" ht="15.75" thickBot="1">
      <c r="B47" s="602">
        <v>6171</v>
      </c>
      <c r="C47" s="603">
        <v>6125</v>
      </c>
      <c r="D47" s="1712" t="s">
        <v>872</v>
      </c>
      <c r="E47" s="812" t="s">
        <v>873</v>
      </c>
      <c r="F47" s="813">
        <v>1260</v>
      </c>
      <c r="G47" s="813">
        <v>1260</v>
      </c>
      <c r="H47" s="813">
        <v>0</v>
      </c>
      <c r="I47" s="1465">
        <v>0</v>
      </c>
    </row>
    <row r="48" spans="1:15" ht="15.75" hidden="1" thickBot="1">
      <c r="B48" s="602">
        <v>6171</v>
      </c>
      <c r="C48" s="603">
        <v>6125</v>
      </c>
      <c r="D48" s="478" t="s">
        <v>872</v>
      </c>
      <c r="E48" s="812" t="s">
        <v>874</v>
      </c>
      <c r="F48" s="813">
        <v>0</v>
      </c>
      <c r="G48" s="813">
        <v>1400.5630000000001</v>
      </c>
      <c r="H48" s="813">
        <v>0</v>
      </c>
      <c r="I48" s="1465">
        <v>0</v>
      </c>
    </row>
    <row r="49" spans="1:15" s="155" customFormat="1" ht="15.75" thickBot="1">
      <c r="A49" s="4">
        <v>603</v>
      </c>
      <c r="B49" s="1995" t="s">
        <v>873</v>
      </c>
      <c r="C49" s="1996"/>
      <c r="D49" s="1996"/>
      <c r="E49" s="1997"/>
      <c r="F49" s="340">
        <f>SUM(F47:F48)</f>
        <v>1260</v>
      </c>
      <c r="G49" s="340">
        <f>SUM(G47:G48)</f>
        <v>2660.5630000000001</v>
      </c>
      <c r="H49" s="340">
        <f>SUM(H47:H48)</f>
        <v>0</v>
      </c>
      <c r="I49" s="1366">
        <f>SUM(I47:I48)</f>
        <v>0</v>
      </c>
    </row>
    <row r="50" spans="1:15" ht="15.75" thickBot="1">
      <c r="B50" s="284">
        <v>6171</v>
      </c>
      <c r="C50" s="285">
        <v>6125</v>
      </c>
      <c r="D50" s="137" t="s">
        <v>859</v>
      </c>
      <c r="E50" s="103" t="s">
        <v>875</v>
      </c>
      <c r="F50" s="814">
        <v>23617</v>
      </c>
      <c r="G50" s="814">
        <v>23617</v>
      </c>
      <c r="H50" s="814">
        <v>0</v>
      </c>
      <c r="I50" s="1391">
        <v>0</v>
      </c>
    </row>
    <row r="51" spans="1:15" ht="12.75" hidden="1" customHeight="1" thickBot="1">
      <c r="B51" s="284">
        <v>6171</v>
      </c>
      <c r="C51" s="285">
        <v>6125</v>
      </c>
      <c r="D51" s="137" t="s">
        <v>859</v>
      </c>
      <c r="E51" s="103" t="s">
        <v>876</v>
      </c>
      <c r="F51" s="814">
        <v>0</v>
      </c>
      <c r="G51" s="814">
        <v>5045.5519999999997</v>
      </c>
      <c r="H51" s="814">
        <v>0</v>
      </c>
      <c r="I51" s="1391">
        <v>0</v>
      </c>
    </row>
    <row r="52" spans="1:15" s="155" customFormat="1" ht="15.75" thickBot="1">
      <c r="A52" s="4">
        <v>604</v>
      </c>
      <c r="B52" s="1998" t="s">
        <v>1102</v>
      </c>
      <c r="C52" s="1999"/>
      <c r="D52" s="1999"/>
      <c r="E52" s="1999"/>
      <c r="F52" s="95">
        <f>SUM(F50:F51)</f>
        <v>23617</v>
      </c>
      <c r="G52" s="95">
        <f>SUM(G50:G51)</f>
        <v>28662.552</v>
      </c>
      <c r="H52" s="95">
        <f>SUM(H50:H51)</f>
        <v>0</v>
      </c>
      <c r="I52" s="1466">
        <f>SUM(I50:I51)</f>
        <v>0</v>
      </c>
    </row>
    <row r="53" spans="1:15" s="286" customFormat="1" ht="6" customHeight="1" thickTop="1" thickBot="1">
      <c r="A53" s="23"/>
      <c r="B53" s="22"/>
      <c r="C53" s="22"/>
      <c r="D53" s="21"/>
      <c r="E53" s="20"/>
      <c r="F53" s="18"/>
      <c r="G53" s="18"/>
      <c r="H53" s="18"/>
      <c r="I53" s="18"/>
    </row>
    <row r="54" spans="1:15" ht="16.5" thickTop="1" thickBot="1">
      <c r="A54" s="108"/>
      <c r="B54" s="16"/>
      <c r="C54" s="16"/>
      <c r="D54" s="16"/>
      <c r="E54" s="15" t="s">
        <v>32</v>
      </c>
      <c r="F54" s="120">
        <f>SUM(F38:F45,F49,F52)</f>
        <v>33517</v>
      </c>
      <c r="G54" s="120">
        <f>SUM(G38:G45,G42,G49,G52)</f>
        <v>40163.114999999998</v>
      </c>
      <c r="H54" s="120">
        <f>SUM(H38:H42,H44:H45,H49,H52)</f>
        <v>11850</v>
      </c>
      <c r="I54" s="121">
        <f>SUM(I38:I42,I44:I45,I49,I52,I46)</f>
        <v>17046.059000000001</v>
      </c>
    </row>
    <row r="55" spans="1:15" ht="7.5" customHeight="1" thickTop="1" thickBot="1">
      <c r="F55" s="122"/>
      <c r="G55" s="122"/>
      <c r="H55" s="122"/>
      <c r="I55" s="122"/>
    </row>
    <row r="56" spans="1:15" ht="16.5" thickTop="1" thickBot="1">
      <c r="B56" s="9"/>
      <c r="C56" s="8"/>
      <c r="D56" s="8"/>
      <c r="E56" s="8" t="s">
        <v>870</v>
      </c>
      <c r="F56" s="123">
        <f>SUM(F30,F54)</f>
        <v>55975</v>
      </c>
      <c r="G56" s="123">
        <f>SUM(G30,G54)</f>
        <v>65508.324209999992</v>
      </c>
      <c r="H56" s="123">
        <f>SUM(H30,H54)</f>
        <v>32733.652000000002</v>
      </c>
      <c r="I56" s="154">
        <f>SUM(I30,I54)</f>
        <v>38031.351000000002</v>
      </c>
      <c r="J56" s="122"/>
    </row>
    <row r="57" spans="1:15" ht="15.75" thickTop="1">
      <c r="B57" s="3"/>
      <c r="C57" s="3"/>
      <c r="D57" s="3"/>
      <c r="E57" s="3"/>
    </row>
    <row r="58" spans="1:15">
      <c r="B58" s="3"/>
      <c r="C58" s="3"/>
      <c r="D58" s="3"/>
      <c r="E58" s="3"/>
    </row>
    <row r="59" spans="1:15">
      <c r="B59" s="3"/>
      <c r="C59" s="3"/>
      <c r="D59" s="3"/>
      <c r="E59" s="3"/>
    </row>
    <row r="60" spans="1:15">
      <c r="B60" s="3"/>
      <c r="C60" s="3"/>
      <c r="D60" s="3"/>
      <c r="E60" s="3"/>
    </row>
    <row r="61" spans="1:15" s="2" customFormat="1">
      <c r="A61" s="4"/>
      <c r="B61" s="3"/>
      <c r="C61" s="3"/>
      <c r="D61" s="3"/>
      <c r="E61" s="3"/>
      <c r="J61" s="12"/>
      <c r="K61" s="12"/>
      <c r="L61" s="12"/>
      <c r="M61" s="12"/>
      <c r="N61" s="12"/>
      <c r="O61" s="12"/>
    </row>
    <row r="62" spans="1:15" s="2" customFormat="1">
      <c r="A62" s="4"/>
      <c r="B62" s="3"/>
      <c r="C62" s="3"/>
      <c r="D62" s="3"/>
      <c r="E62" s="3"/>
      <c r="J62" s="12"/>
      <c r="K62" s="12"/>
      <c r="L62" s="12"/>
      <c r="M62" s="12"/>
      <c r="N62" s="12"/>
      <c r="O62" s="12"/>
    </row>
    <row r="63" spans="1:15" s="2" customFormat="1">
      <c r="A63" s="4"/>
      <c r="B63" s="3"/>
      <c r="C63" s="3"/>
      <c r="D63" s="3"/>
      <c r="E63" s="3"/>
      <c r="J63" s="12"/>
      <c r="K63" s="12"/>
      <c r="L63" s="12"/>
      <c r="M63" s="12"/>
      <c r="N63" s="12"/>
      <c r="O63" s="12"/>
    </row>
    <row r="64" spans="1:15" s="2" customFormat="1">
      <c r="A64" s="4"/>
      <c r="B64" s="3"/>
      <c r="C64" s="3"/>
      <c r="D64" s="3"/>
      <c r="E64" s="3"/>
      <c r="J64" s="12"/>
      <c r="K64" s="12"/>
      <c r="L64" s="12"/>
      <c r="M64" s="12"/>
      <c r="N64" s="12"/>
      <c r="O64" s="12"/>
    </row>
    <row r="65" spans="1:15" s="2" customFormat="1">
      <c r="A65" s="4"/>
      <c r="B65" s="3"/>
      <c r="C65" s="3"/>
      <c r="D65" s="3"/>
      <c r="E65" s="3"/>
      <c r="J65" s="12"/>
      <c r="K65" s="12"/>
      <c r="L65" s="12"/>
      <c r="M65" s="12"/>
      <c r="N65" s="12"/>
      <c r="O65" s="12"/>
    </row>
    <row r="66" spans="1:15" s="2" customFormat="1">
      <c r="A66" s="4"/>
      <c r="B66" s="3"/>
      <c r="C66" s="3"/>
      <c r="D66" s="3"/>
      <c r="E66" s="3"/>
      <c r="J66" s="12"/>
      <c r="K66" s="12"/>
      <c r="L66" s="12"/>
      <c r="M66" s="12"/>
      <c r="N66" s="12"/>
      <c r="O66" s="12"/>
    </row>
    <row r="67" spans="1:15" s="2" customFormat="1">
      <c r="A67" s="4"/>
      <c r="B67" s="3"/>
      <c r="C67" s="3"/>
      <c r="D67" s="3"/>
      <c r="E67" s="3"/>
      <c r="J67" s="12"/>
      <c r="K67" s="12"/>
      <c r="L67" s="12"/>
      <c r="M67" s="12"/>
      <c r="N67" s="12"/>
      <c r="O67" s="12"/>
    </row>
    <row r="68" spans="1:15" s="2" customFormat="1">
      <c r="A68" s="4"/>
      <c r="B68" s="3"/>
      <c r="C68" s="3"/>
      <c r="D68" s="3"/>
      <c r="E68" s="3"/>
      <c r="J68" s="12"/>
      <c r="K68" s="12"/>
      <c r="L68" s="12"/>
      <c r="M68" s="12"/>
      <c r="N68" s="12"/>
      <c r="O68" s="12"/>
    </row>
    <row r="69" spans="1:15" s="2" customFormat="1">
      <c r="A69" s="4"/>
      <c r="B69" s="3"/>
      <c r="C69" s="3"/>
      <c r="D69" s="3"/>
      <c r="E69" s="3"/>
      <c r="J69" s="12"/>
      <c r="K69" s="12"/>
      <c r="L69" s="12"/>
      <c r="M69" s="12"/>
      <c r="N69" s="12"/>
      <c r="O69" s="12"/>
    </row>
    <row r="70" spans="1:15" s="2" customFormat="1">
      <c r="A70" s="4"/>
      <c r="B70" s="3"/>
      <c r="C70" s="3"/>
      <c r="D70" s="3"/>
      <c r="E70" s="3"/>
      <c r="J70" s="12"/>
      <c r="K70" s="12"/>
      <c r="L70" s="12"/>
      <c r="M70" s="12"/>
      <c r="N70" s="12"/>
      <c r="O70" s="12"/>
    </row>
    <row r="71" spans="1:15" s="2" customFormat="1">
      <c r="A71" s="4"/>
      <c r="B71" s="3"/>
      <c r="C71" s="3"/>
      <c r="D71" s="3"/>
      <c r="E71" s="3"/>
      <c r="J71" s="12"/>
      <c r="K71" s="12"/>
      <c r="L71" s="12"/>
      <c r="M71" s="12"/>
      <c r="N71" s="12"/>
      <c r="O71" s="12"/>
    </row>
    <row r="72" spans="1:15" s="2" customFormat="1">
      <c r="A72" s="4"/>
      <c r="B72" s="3"/>
      <c r="C72" s="3"/>
      <c r="D72" s="3"/>
      <c r="E72" s="3"/>
      <c r="J72" s="12"/>
      <c r="K72" s="12"/>
      <c r="L72" s="12"/>
      <c r="M72" s="12"/>
      <c r="N72" s="12"/>
      <c r="O72" s="12"/>
    </row>
    <row r="73" spans="1:15" s="2" customFormat="1">
      <c r="A73" s="4"/>
      <c r="B73" s="3"/>
      <c r="C73" s="3"/>
      <c r="D73" s="3"/>
      <c r="E73" s="3"/>
      <c r="J73" s="12"/>
      <c r="K73" s="12"/>
      <c r="L73" s="12"/>
      <c r="M73" s="12"/>
      <c r="N73" s="12"/>
      <c r="O73" s="12"/>
    </row>
    <row r="74" spans="1:15" s="2" customFormat="1">
      <c r="A74" s="4"/>
      <c r="B74" s="3"/>
      <c r="C74" s="3"/>
      <c r="D74" s="3"/>
      <c r="E74" s="3"/>
      <c r="J74" s="12"/>
      <c r="K74" s="12"/>
      <c r="L74" s="12"/>
      <c r="M74" s="12"/>
      <c r="N74" s="12"/>
      <c r="O74" s="12"/>
    </row>
    <row r="75" spans="1:15" s="2" customFormat="1">
      <c r="A75" s="4"/>
      <c r="B75" s="3"/>
      <c r="C75" s="3"/>
      <c r="D75" s="3"/>
      <c r="E75" s="3"/>
      <c r="J75" s="12"/>
      <c r="K75" s="12"/>
      <c r="L75" s="12"/>
      <c r="M75" s="12"/>
      <c r="N75" s="12"/>
      <c r="O75" s="12"/>
    </row>
    <row r="76" spans="1:15" s="2" customFormat="1">
      <c r="A76" s="4"/>
      <c r="B76" s="3"/>
      <c r="C76" s="3"/>
      <c r="D76" s="3"/>
      <c r="E76" s="3"/>
      <c r="J76" s="12"/>
      <c r="K76" s="12"/>
      <c r="L76" s="12"/>
      <c r="M76" s="12"/>
      <c r="N76" s="12"/>
      <c r="O76" s="12"/>
    </row>
    <row r="77" spans="1:15" s="2" customFormat="1">
      <c r="A77" s="4"/>
      <c r="B77" s="3"/>
      <c r="C77" s="3"/>
      <c r="D77" s="3"/>
      <c r="E77" s="3"/>
      <c r="J77" s="12"/>
      <c r="K77" s="12"/>
      <c r="L77" s="12"/>
      <c r="M77" s="12"/>
      <c r="N77" s="12"/>
      <c r="O77" s="12"/>
    </row>
    <row r="78" spans="1:15" s="2" customFormat="1">
      <c r="A78" s="4"/>
      <c r="B78" s="3"/>
      <c r="C78" s="3"/>
      <c r="D78" s="3"/>
      <c r="E78" s="3"/>
      <c r="J78" s="12"/>
      <c r="K78" s="12"/>
      <c r="L78" s="12"/>
      <c r="M78" s="12"/>
      <c r="N78" s="12"/>
      <c r="O78" s="12"/>
    </row>
    <row r="79" spans="1:15" s="2" customFormat="1">
      <c r="A79" s="4"/>
      <c r="B79" s="3"/>
      <c r="C79" s="3"/>
      <c r="D79" s="3"/>
      <c r="E79" s="3"/>
      <c r="J79" s="12"/>
      <c r="K79" s="12"/>
      <c r="L79" s="12"/>
      <c r="M79" s="12"/>
      <c r="N79" s="12"/>
      <c r="O79" s="12"/>
    </row>
    <row r="80" spans="1:15" s="2" customFormat="1">
      <c r="A80" s="4"/>
      <c r="B80" s="3"/>
      <c r="C80" s="3"/>
      <c r="D80" s="3"/>
      <c r="E80" s="3"/>
      <c r="J80" s="12"/>
      <c r="K80" s="12"/>
      <c r="L80" s="12"/>
      <c r="M80" s="12"/>
      <c r="N80" s="12"/>
      <c r="O80" s="12"/>
    </row>
    <row r="81" spans="1:15" s="2" customFormat="1">
      <c r="A81" s="4"/>
      <c r="B81" s="3"/>
      <c r="C81" s="3"/>
      <c r="D81" s="3"/>
      <c r="E81" s="3"/>
      <c r="J81" s="12"/>
      <c r="K81" s="12"/>
      <c r="L81" s="12"/>
      <c r="M81" s="12"/>
      <c r="N81" s="12"/>
      <c r="O81" s="12"/>
    </row>
    <row r="82" spans="1:15" s="2" customFormat="1">
      <c r="A82" s="4"/>
      <c r="B82" s="3"/>
      <c r="C82" s="3"/>
      <c r="D82" s="3"/>
      <c r="E82" s="3"/>
      <c r="J82" s="12"/>
      <c r="K82" s="12"/>
      <c r="L82" s="12"/>
      <c r="M82" s="12"/>
      <c r="N82" s="12"/>
      <c r="O82" s="12"/>
    </row>
    <row r="83" spans="1:15" s="2" customFormat="1">
      <c r="A83" s="4"/>
      <c r="B83" s="3"/>
      <c r="C83" s="3"/>
      <c r="D83" s="3"/>
      <c r="E83" s="3"/>
      <c r="J83" s="12"/>
      <c r="K83" s="12"/>
      <c r="L83" s="12"/>
      <c r="M83" s="12"/>
      <c r="N83" s="12"/>
      <c r="O83" s="12"/>
    </row>
    <row r="84" spans="1:15" s="2" customFormat="1">
      <c r="A84" s="4"/>
      <c r="B84" s="3"/>
      <c r="C84" s="3"/>
      <c r="D84" s="3"/>
      <c r="E84" s="3"/>
      <c r="J84" s="12"/>
      <c r="K84" s="12"/>
      <c r="L84" s="12"/>
      <c r="M84" s="12"/>
      <c r="N84" s="12"/>
      <c r="O84" s="12"/>
    </row>
    <row r="85" spans="1:15" s="2" customFormat="1">
      <c r="A85" s="4"/>
      <c r="B85" s="3"/>
      <c r="C85" s="3"/>
      <c r="D85" s="3"/>
      <c r="E85" s="3"/>
      <c r="J85" s="12"/>
      <c r="K85" s="12"/>
      <c r="L85" s="12"/>
      <c r="M85" s="12"/>
      <c r="N85" s="12"/>
      <c r="O85" s="12"/>
    </row>
    <row r="86" spans="1:15" s="2" customFormat="1">
      <c r="A86" s="4"/>
      <c r="B86" s="3"/>
      <c r="C86" s="3"/>
      <c r="D86" s="3"/>
      <c r="E86" s="3"/>
      <c r="J86" s="12"/>
      <c r="K86" s="12"/>
      <c r="L86" s="12"/>
      <c r="M86" s="12"/>
      <c r="N86" s="12"/>
      <c r="O86" s="12"/>
    </row>
    <row r="87" spans="1:15" s="2" customFormat="1">
      <c r="A87" s="4"/>
      <c r="B87" s="3"/>
      <c r="C87" s="3"/>
      <c r="D87" s="3"/>
      <c r="E87" s="3"/>
      <c r="J87" s="12"/>
      <c r="K87" s="12"/>
      <c r="L87" s="12"/>
      <c r="M87" s="12"/>
      <c r="N87" s="12"/>
      <c r="O87" s="12"/>
    </row>
    <row r="88" spans="1:15" s="2" customFormat="1">
      <c r="A88" s="4"/>
      <c r="B88" s="3"/>
      <c r="C88" s="3"/>
      <c r="D88" s="3"/>
      <c r="E88" s="3"/>
      <c r="J88" s="12"/>
      <c r="K88" s="12"/>
      <c r="L88" s="12"/>
      <c r="M88" s="12"/>
      <c r="N88" s="12"/>
      <c r="O88" s="12"/>
    </row>
    <row r="89" spans="1:15" s="2" customFormat="1">
      <c r="A89" s="4"/>
      <c r="B89" s="3"/>
      <c r="C89" s="3"/>
      <c r="D89" s="3"/>
      <c r="E89" s="3"/>
      <c r="J89" s="12"/>
      <c r="K89" s="12"/>
      <c r="L89" s="12"/>
      <c r="M89" s="12"/>
      <c r="N89" s="12"/>
      <c r="O89" s="12"/>
    </row>
    <row r="90" spans="1:15" s="2" customFormat="1">
      <c r="A90" s="4"/>
      <c r="B90" s="3"/>
      <c r="C90" s="3"/>
      <c r="D90" s="3"/>
      <c r="E90" s="3"/>
      <c r="J90" s="12"/>
      <c r="K90" s="12"/>
      <c r="L90" s="12"/>
      <c r="M90" s="12"/>
      <c r="N90" s="12"/>
      <c r="O90" s="12"/>
    </row>
    <row r="91" spans="1:15" s="2" customFormat="1">
      <c r="A91" s="4"/>
      <c r="B91" s="3"/>
      <c r="C91" s="3"/>
      <c r="D91" s="3"/>
      <c r="E91" s="3"/>
      <c r="J91" s="12"/>
      <c r="K91" s="12"/>
      <c r="L91" s="12"/>
      <c r="M91" s="12"/>
      <c r="N91" s="12"/>
      <c r="O91" s="12"/>
    </row>
    <row r="92" spans="1:15" s="2" customFormat="1">
      <c r="A92" s="4"/>
      <c r="B92" s="3"/>
      <c r="C92" s="3"/>
      <c r="D92" s="3"/>
      <c r="E92" s="3"/>
      <c r="J92" s="12"/>
      <c r="K92" s="12"/>
      <c r="L92" s="12"/>
      <c r="M92" s="12"/>
      <c r="N92" s="12"/>
      <c r="O92" s="12"/>
    </row>
    <row r="93" spans="1:15" s="2" customFormat="1">
      <c r="A93" s="4"/>
      <c r="B93" s="3"/>
      <c r="C93" s="3"/>
      <c r="D93" s="3"/>
      <c r="E93" s="3"/>
      <c r="J93" s="12"/>
      <c r="K93" s="12"/>
      <c r="L93" s="12"/>
      <c r="M93" s="12"/>
      <c r="N93" s="12"/>
      <c r="O93" s="12"/>
    </row>
    <row r="94" spans="1:15" s="2" customFormat="1">
      <c r="A94" s="4"/>
      <c r="B94" s="3"/>
      <c r="C94" s="3"/>
      <c r="D94" s="3"/>
      <c r="E94" s="3"/>
      <c r="J94" s="12"/>
      <c r="K94" s="12"/>
      <c r="L94" s="12"/>
      <c r="M94" s="12"/>
      <c r="N94" s="12"/>
      <c r="O94" s="12"/>
    </row>
    <row r="95" spans="1:15" s="2" customFormat="1">
      <c r="A95" s="4"/>
      <c r="B95" s="3"/>
      <c r="C95" s="3"/>
      <c r="D95" s="3"/>
      <c r="E95" s="3"/>
      <c r="J95" s="12"/>
      <c r="K95" s="12"/>
      <c r="L95" s="12"/>
      <c r="M95" s="12"/>
      <c r="N95" s="12"/>
      <c r="O95" s="12"/>
    </row>
    <row r="96" spans="1:15" s="2" customFormat="1">
      <c r="A96" s="4"/>
      <c r="B96" s="3"/>
      <c r="C96" s="3"/>
      <c r="D96" s="3"/>
      <c r="E96" s="3"/>
      <c r="J96" s="12"/>
      <c r="K96" s="12"/>
      <c r="L96" s="12"/>
      <c r="M96" s="12"/>
      <c r="N96" s="12"/>
      <c r="O96" s="12"/>
    </row>
    <row r="97" spans="1:15" s="2" customFormat="1">
      <c r="A97" s="4"/>
      <c r="B97" s="3"/>
      <c r="C97" s="3"/>
      <c r="D97" s="3"/>
      <c r="E97" s="3"/>
      <c r="J97" s="12"/>
      <c r="K97" s="12"/>
      <c r="L97" s="12"/>
      <c r="M97" s="12"/>
      <c r="N97" s="12"/>
      <c r="O97" s="12"/>
    </row>
    <row r="98" spans="1:15" s="2" customFormat="1">
      <c r="A98" s="4"/>
      <c r="B98" s="3"/>
      <c r="C98" s="3"/>
      <c r="D98" s="3"/>
      <c r="E98" s="3"/>
      <c r="J98" s="12"/>
      <c r="K98" s="12"/>
      <c r="L98" s="12"/>
      <c r="M98" s="12"/>
      <c r="N98" s="12"/>
      <c r="O98" s="12"/>
    </row>
    <row r="99" spans="1:15" s="2" customFormat="1">
      <c r="A99" s="4"/>
      <c r="B99" s="3"/>
      <c r="C99" s="3"/>
      <c r="D99" s="3"/>
      <c r="E99" s="3"/>
      <c r="J99" s="12"/>
      <c r="K99" s="12"/>
      <c r="L99" s="12"/>
      <c r="M99" s="12"/>
      <c r="N99" s="12"/>
      <c r="O99" s="12"/>
    </row>
    <row r="100" spans="1:15" s="2" customFormat="1">
      <c r="A100" s="4"/>
      <c r="B100" s="3"/>
      <c r="C100" s="3"/>
      <c r="D100" s="3"/>
      <c r="E100" s="3"/>
      <c r="J100" s="12"/>
      <c r="K100" s="12"/>
      <c r="L100" s="12"/>
      <c r="M100" s="12"/>
      <c r="N100" s="12"/>
      <c r="O100" s="12"/>
    </row>
    <row r="101" spans="1:15" s="2" customFormat="1">
      <c r="A101" s="4"/>
      <c r="B101" s="3"/>
      <c r="C101" s="3"/>
      <c r="D101" s="3"/>
      <c r="E101" s="3"/>
      <c r="J101" s="12"/>
      <c r="K101" s="12"/>
      <c r="L101" s="12"/>
      <c r="M101" s="12"/>
      <c r="N101" s="12"/>
      <c r="O101" s="12"/>
    </row>
    <row r="102" spans="1:15" s="2" customFormat="1">
      <c r="A102" s="4"/>
      <c r="B102" s="3"/>
      <c r="C102" s="3"/>
      <c r="D102" s="3"/>
      <c r="E102" s="3"/>
      <c r="J102" s="12"/>
      <c r="K102" s="12"/>
      <c r="L102" s="12"/>
      <c r="M102" s="12"/>
      <c r="N102" s="12"/>
      <c r="O102" s="12"/>
    </row>
    <row r="103" spans="1:15" s="2" customFormat="1">
      <c r="A103" s="4"/>
      <c r="B103" s="3"/>
      <c r="C103" s="3"/>
      <c r="D103" s="3"/>
      <c r="E103" s="3"/>
      <c r="J103" s="12"/>
      <c r="K103" s="12"/>
      <c r="L103" s="12"/>
      <c r="M103" s="12"/>
      <c r="N103" s="12"/>
      <c r="O103" s="12"/>
    </row>
    <row r="104" spans="1:15" s="2" customFormat="1">
      <c r="A104" s="4"/>
      <c r="B104" s="3"/>
      <c r="C104" s="3"/>
      <c r="D104" s="3"/>
      <c r="E104" s="3"/>
      <c r="J104" s="12"/>
      <c r="K104" s="12"/>
      <c r="L104" s="12"/>
      <c r="M104" s="12"/>
      <c r="N104" s="12"/>
      <c r="O104" s="12"/>
    </row>
    <row r="105" spans="1:15" s="2" customFormat="1">
      <c r="A105" s="4"/>
      <c r="B105" s="3"/>
      <c r="C105" s="3"/>
      <c r="D105" s="3"/>
      <c r="E105" s="3"/>
      <c r="J105" s="12"/>
      <c r="K105" s="12"/>
      <c r="L105" s="12"/>
      <c r="M105" s="12"/>
      <c r="N105" s="12"/>
      <c r="O105" s="12"/>
    </row>
    <row r="106" spans="1:15" s="2" customFormat="1">
      <c r="A106" s="4"/>
      <c r="B106" s="3"/>
      <c r="C106" s="3"/>
      <c r="D106" s="3"/>
      <c r="E106" s="3"/>
      <c r="J106" s="12"/>
      <c r="K106" s="12"/>
      <c r="L106" s="12"/>
      <c r="M106" s="12"/>
      <c r="N106" s="12"/>
      <c r="O106" s="12"/>
    </row>
    <row r="107" spans="1:15" s="2" customFormat="1">
      <c r="A107" s="4"/>
      <c r="B107" s="3"/>
      <c r="C107" s="3"/>
      <c r="D107" s="3"/>
      <c r="E107" s="3"/>
      <c r="J107" s="12"/>
      <c r="K107" s="12"/>
      <c r="L107" s="12"/>
      <c r="M107" s="12"/>
      <c r="N107" s="12"/>
      <c r="O107" s="12"/>
    </row>
    <row r="108" spans="1:15" s="2" customFormat="1">
      <c r="A108" s="4"/>
      <c r="B108" s="3"/>
      <c r="C108" s="3"/>
      <c r="D108" s="3"/>
      <c r="E108" s="3"/>
      <c r="J108" s="12"/>
      <c r="K108" s="12"/>
      <c r="L108" s="12"/>
      <c r="M108" s="12"/>
      <c r="N108" s="12"/>
      <c r="O108" s="12"/>
    </row>
    <row r="109" spans="1:15" s="2" customFormat="1">
      <c r="A109" s="4"/>
      <c r="B109" s="3"/>
      <c r="C109" s="3"/>
      <c r="D109" s="3"/>
      <c r="E109" s="3"/>
      <c r="J109" s="12"/>
      <c r="K109" s="12"/>
      <c r="L109" s="12"/>
      <c r="M109" s="12"/>
      <c r="N109" s="12"/>
      <c r="O109" s="12"/>
    </row>
    <row r="110" spans="1:15" s="2" customFormat="1">
      <c r="A110" s="4"/>
      <c r="B110" s="3"/>
      <c r="C110" s="3"/>
      <c r="D110" s="3"/>
      <c r="E110" s="3"/>
      <c r="J110" s="12"/>
      <c r="K110" s="12"/>
      <c r="L110" s="12"/>
      <c r="M110" s="12"/>
      <c r="N110" s="12"/>
      <c r="O110" s="12"/>
    </row>
    <row r="111" spans="1:15" s="2" customFormat="1">
      <c r="A111" s="4"/>
      <c r="B111" s="3"/>
      <c r="C111" s="3"/>
      <c r="D111" s="3"/>
      <c r="E111" s="3"/>
      <c r="J111" s="12"/>
      <c r="K111" s="12"/>
      <c r="L111" s="12"/>
      <c r="M111" s="12"/>
      <c r="N111" s="12"/>
      <c r="O111" s="12"/>
    </row>
    <row r="112" spans="1:15" s="2" customFormat="1">
      <c r="A112" s="4"/>
      <c r="B112" s="3"/>
      <c r="C112" s="3"/>
      <c r="D112" s="3"/>
      <c r="E112" s="3"/>
      <c r="J112" s="12"/>
      <c r="K112" s="12"/>
      <c r="L112" s="12"/>
      <c r="M112" s="12"/>
      <c r="N112" s="12"/>
      <c r="O112" s="12"/>
    </row>
    <row r="113" spans="1:15" s="2" customFormat="1">
      <c r="A113" s="4"/>
      <c r="B113" s="3"/>
      <c r="C113" s="3"/>
      <c r="D113" s="3"/>
      <c r="E113" s="3"/>
      <c r="J113" s="12"/>
      <c r="K113" s="12"/>
      <c r="L113" s="12"/>
      <c r="M113" s="12"/>
      <c r="N113" s="12"/>
      <c r="O113" s="12"/>
    </row>
    <row r="114" spans="1:15" s="2" customFormat="1">
      <c r="A114" s="4"/>
      <c r="B114" s="3"/>
      <c r="C114" s="3"/>
      <c r="D114" s="3"/>
      <c r="E114" s="3"/>
      <c r="J114" s="12"/>
      <c r="K114" s="12"/>
      <c r="L114" s="12"/>
      <c r="M114" s="12"/>
      <c r="N114" s="12"/>
      <c r="O114" s="12"/>
    </row>
    <row r="115" spans="1:15" s="2" customFormat="1">
      <c r="A115" s="4"/>
      <c r="B115" s="3"/>
      <c r="C115" s="3"/>
      <c r="D115" s="3"/>
      <c r="E115" s="3"/>
      <c r="J115" s="12"/>
      <c r="K115" s="12"/>
      <c r="L115" s="12"/>
      <c r="M115" s="12"/>
      <c r="N115" s="12"/>
      <c r="O115" s="12"/>
    </row>
    <row r="116" spans="1:15" s="2" customFormat="1">
      <c r="A116" s="4"/>
      <c r="B116" s="3"/>
      <c r="C116" s="3"/>
      <c r="D116" s="3"/>
      <c r="E116" s="3"/>
      <c r="J116" s="12"/>
      <c r="K116" s="12"/>
      <c r="L116" s="12"/>
      <c r="M116" s="12"/>
      <c r="N116" s="12"/>
      <c r="O116" s="12"/>
    </row>
    <row r="117" spans="1:15" s="2" customFormat="1">
      <c r="A117" s="4"/>
      <c r="B117" s="3"/>
      <c r="C117" s="3"/>
      <c r="D117" s="3"/>
      <c r="E117" s="3"/>
      <c r="J117" s="12"/>
      <c r="K117" s="12"/>
      <c r="L117" s="12"/>
      <c r="M117" s="12"/>
      <c r="N117" s="12"/>
      <c r="O117" s="12"/>
    </row>
    <row r="118" spans="1:15" s="2" customFormat="1">
      <c r="A118" s="4"/>
      <c r="B118" s="3"/>
      <c r="C118" s="3"/>
      <c r="D118" s="3"/>
      <c r="E118" s="3"/>
      <c r="J118" s="12"/>
      <c r="K118" s="12"/>
      <c r="L118" s="12"/>
      <c r="M118" s="12"/>
      <c r="N118" s="12"/>
      <c r="O118" s="12"/>
    </row>
    <row r="119" spans="1:15" s="2" customFormat="1">
      <c r="A119" s="4"/>
      <c r="B119" s="3"/>
      <c r="C119" s="3"/>
      <c r="D119" s="3"/>
      <c r="E119" s="3"/>
      <c r="J119" s="12"/>
      <c r="K119" s="12"/>
      <c r="L119" s="12"/>
      <c r="M119" s="12"/>
      <c r="N119" s="12"/>
      <c r="O119" s="12"/>
    </row>
    <row r="120" spans="1:15" s="2" customFormat="1">
      <c r="A120" s="4"/>
      <c r="B120" s="3"/>
      <c r="C120" s="3"/>
      <c r="D120" s="3"/>
      <c r="E120" s="3"/>
      <c r="J120" s="12"/>
      <c r="K120" s="12"/>
      <c r="L120" s="12"/>
      <c r="M120" s="12"/>
      <c r="N120" s="12"/>
      <c r="O120" s="12"/>
    </row>
    <row r="121" spans="1:15" s="2" customFormat="1">
      <c r="A121" s="4"/>
      <c r="B121" s="3"/>
      <c r="C121" s="3"/>
      <c r="D121" s="3"/>
      <c r="E121" s="3"/>
      <c r="J121" s="12"/>
      <c r="K121" s="12"/>
      <c r="L121" s="12"/>
      <c r="M121" s="12"/>
      <c r="N121" s="12"/>
      <c r="O121" s="12"/>
    </row>
    <row r="122" spans="1:15" s="2" customFormat="1">
      <c r="A122" s="4"/>
      <c r="B122" s="3"/>
      <c r="C122" s="3"/>
      <c r="D122" s="3"/>
      <c r="E122" s="3"/>
      <c r="J122" s="12"/>
      <c r="K122" s="12"/>
      <c r="L122" s="12"/>
      <c r="M122" s="12"/>
      <c r="N122" s="12"/>
      <c r="O122" s="12"/>
    </row>
    <row r="123" spans="1:15" s="2" customFormat="1">
      <c r="A123" s="4"/>
      <c r="B123" s="3"/>
      <c r="C123" s="3"/>
      <c r="D123" s="3"/>
      <c r="E123" s="3"/>
      <c r="J123" s="12"/>
      <c r="K123" s="12"/>
      <c r="L123" s="12"/>
      <c r="M123" s="12"/>
      <c r="N123" s="12"/>
      <c r="O123" s="12"/>
    </row>
    <row r="124" spans="1:15" s="2" customFormat="1">
      <c r="A124" s="4"/>
      <c r="B124" s="3"/>
      <c r="C124" s="3"/>
      <c r="D124" s="3"/>
      <c r="E124" s="3"/>
      <c r="J124" s="12"/>
      <c r="K124" s="12"/>
      <c r="L124" s="12"/>
      <c r="M124" s="12"/>
      <c r="N124" s="12"/>
      <c r="O124" s="12"/>
    </row>
    <row r="125" spans="1:15" s="2" customFormat="1">
      <c r="A125" s="4"/>
      <c r="B125" s="3"/>
      <c r="C125" s="3"/>
      <c r="D125" s="3"/>
      <c r="E125" s="3"/>
      <c r="J125" s="12"/>
      <c r="K125" s="12"/>
      <c r="L125" s="12"/>
      <c r="M125" s="12"/>
      <c r="N125" s="12"/>
      <c r="O125" s="12"/>
    </row>
    <row r="126" spans="1:15" s="2" customFormat="1">
      <c r="A126" s="4"/>
      <c r="B126" s="3"/>
      <c r="C126" s="3"/>
      <c r="D126" s="3"/>
      <c r="E126" s="3"/>
      <c r="J126" s="12"/>
      <c r="K126" s="12"/>
      <c r="L126" s="12"/>
      <c r="M126" s="12"/>
      <c r="N126" s="12"/>
      <c r="O126" s="12"/>
    </row>
    <row r="127" spans="1:15" s="2" customFormat="1">
      <c r="A127" s="4"/>
      <c r="B127" s="3"/>
      <c r="C127" s="3"/>
      <c r="D127" s="3"/>
      <c r="E127" s="3"/>
      <c r="J127" s="12"/>
      <c r="K127" s="12"/>
      <c r="L127" s="12"/>
      <c r="M127" s="12"/>
      <c r="N127" s="12"/>
      <c r="O127" s="12"/>
    </row>
    <row r="128" spans="1:15" s="2" customFormat="1">
      <c r="A128" s="4"/>
      <c r="B128" s="3"/>
      <c r="C128" s="3"/>
      <c r="D128" s="3"/>
      <c r="E128" s="3"/>
      <c r="J128" s="12"/>
      <c r="K128" s="12"/>
      <c r="L128" s="12"/>
      <c r="M128" s="12"/>
      <c r="N128" s="12"/>
      <c r="O128" s="12"/>
    </row>
    <row r="129" spans="1:15" s="2" customFormat="1">
      <c r="A129" s="4"/>
      <c r="B129" s="3"/>
      <c r="C129" s="3"/>
      <c r="D129" s="3"/>
      <c r="E129" s="3"/>
      <c r="J129" s="12"/>
      <c r="K129" s="12"/>
      <c r="L129" s="12"/>
      <c r="M129" s="12"/>
      <c r="N129" s="12"/>
      <c r="O129" s="12"/>
    </row>
    <row r="130" spans="1:15" s="2" customFormat="1">
      <c r="A130" s="4"/>
      <c r="B130" s="3"/>
      <c r="C130" s="3"/>
      <c r="D130" s="3"/>
      <c r="E130" s="3"/>
      <c r="J130" s="12"/>
      <c r="K130" s="12"/>
      <c r="L130" s="12"/>
      <c r="M130" s="12"/>
      <c r="N130" s="12"/>
      <c r="O130" s="12"/>
    </row>
    <row r="131" spans="1:15" s="2" customFormat="1">
      <c r="A131" s="4"/>
      <c r="B131" s="3"/>
      <c r="C131" s="3"/>
      <c r="D131" s="3"/>
      <c r="E131" s="3"/>
      <c r="J131" s="12"/>
      <c r="K131" s="12"/>
      <c r="L131" s="12"/>
      <c r="M131" s="12"/>
      <c r="N131" s="12"/>
      <c r="O131" s="12"/>
    </row>
    <row r="132" spans="1:15" s="2" customFormat="1">
      <c r="A132" s="4"/>
      <c r="B132" s="3"/>
      <c r="C132" s="3"/>
      <c r="D132" s="3"/>
      <c r="E132" s="3"/>
      <c r="J132" s="12"/>
      <c r="K132" s="12"/>
      <c r="L132" s="12"/>
      <c r="M132" s="12"/>
      <c r="N132" s="12"/>
      <c r="O132" s="12"/>
    </row>
    <row r="133" spans="1:15" s="2" customFormat="1">
      <c r="A133" s="4"/>
      <c r="B133" s="3"/>
      <c r="C133" s="3"/>
      <c r="D133" s="3"/>
      <c r="E133" s="3"/>
      <c r="J133" s="12"/>
      <c r="K133" s="12"/>
      <c r="L133" s="12"/>
      <c r="M133" s="12"/>
      <c r="N133" s="12"/>
      <c r="O133" s="12"/>
    </row>
    <row r="134" spans="1:15" s="2" customFormat="1">
      <c r="A134" s="4"/>
      <c r="B134" s="3"/>
      <c r="C134" s="3"/>
      <c r="D134" s="3"/>
      <c r="E134" s="3"/>
      <c r="J134" s="12"/>
      <c r="K134" s="12"/>
      <c r="L134" s="12"/>
      <c r="M134" s="12"/>
      <c r="N134" s="12"/>
      <c r="O134" s="12"/>
    </row>
    <row r="135" spans="1:15" s="2" customFormat="1">
      <c r="A135" s="4"/>
      <c r="B135" s="3"/>
      <c r="C135" s="3"/>
      <c r="D135" s="3"/>
      <c r="E135" s="3"/>
      <c r="J135" s="12"/>
      <c r="K135" s="12"/>
      <c r="L135" s="12"/>
      <c r="M135" s="12"/>
      <c r="N135" s="12"/>
      <c r="O135" s="12"/>
    </row>
    <row r="136" spans="1:15" s="2" customFormat="1">
      <c r="A136" s="4"/>
      <c r="B136" s="3"/>
      <c r="C136" s="3"/>
      <c r="D136" s="3"/>
      <c r="E136" s="3"/>
      <c r="J136" s="12"/>
      <c r="K136" s="12"/>
      <c r="L136" s="12"/>
      <c r="M136" s="12"/>
      <c r="N136" s="12"/>
      <c r="O136" s="12"/>
    </row>
    <row r="137" spans="1:15" s="2" customFormat="1">
      <c r="A137" s="4"/>
      <c r="B137" s="3"/>
      <c r="C137" s="3"/>
      <c r="D137" s="3"/>
      <c r="E137" s="3"/>
      <c r="J137" s="12"/>
      <c r="K137" s="12"/>
      <c r="L137" s="12"/>
      <c r="M137" s="12"/>
      <c r="N137" s="12"/>
      <c r="O137" s="12"/>
    </row>
    <row r="138" spans="1:15" s="2" customFormat="1">
      <c r="A138" s="4"/>
      <c r="B138" s="3"/>
      <c r="C138" s="3"/>
      <c r="D138" s="3"/>
      <c r="E138" s="3"/>
      <c r="J138" s="12"/>
      <c r="K138" s="12"/>
      <c r="L138" s="12"/>
      <c r="M138" s="12"/>
      <c r="N138" s="12"/>
      <c r="O138" s="12"/>
    </row>
    <row r="139" spans="1:15" s="2" customFormat="1">
      <c r="A139" s="4"/>
      <c r="B139" s="3"/>
      <c r="C139" s="3"/>
      <c r="D139" s="3"/>
      <c r="E139" s="3"/>
      <c r="J139" s="12"/>
      <c r="K139" s="12"/>
      <c r="L139" s="12"/>
      <c r="M139" s="12"/>
      <c r="N139" s="12"/>
      <c r="O139" s="12"/>
    </row>
    <row r="140" spans="1:15" s="2" customFormat="1">
      <c r="A140" s="4"/>
      <c r="B140" s="3"/>
      <c r="C140" s="3"/>
      <c r="D140" s="3"/>
      <c r="E140" s="3"/>
      <c r="J140" s="12"/>
      <c r="K140" s="12"/>
      <c r="L140" s="12"/>
      <c r="M140" s="12"/>
      <c r="N140" s="12"/>
      <c r="O140" s="12"/>
    </row>
    <row r="141" spans="1:15" s="2" customFormat="1">
      <c r="A141" s="4"/>
      <c r="B141" s="3"/>
      <c r="C141" s="3"/>
      <c r="D141" s="3"/>
      <c r="E141" s="3"/>
      <c r="J141" s="12"/>
      <c r="K141" s="12"/>
      <c r="L141" s="12"/>
      <c r="M141" s="12"/>
      <c r="N141" s="12"/>
      <c r="O141" s="12"/>
    </row>
    <row r="142" spans="1:15" s="2" customFormat="1">
      <c r="A142" s="4"/>
      <c r="B142" s="3"/>
      <c r="C142" s="3"/>
      <c r="D142" s="3"/>
      <c r="E142" s="3"/>
      <c r="J142" s="12"/>
      <c r="K142" s="12"/>
      <c r="L142" s="12"/>
      <c r="M142" s="12"/>
      <c r="N142" s="12"/>
      <c r="O142" s="12"/>
    </row>
    <row r="143" spans="1:15" s="2" customFormat="1">
      <c r="A143" s="4"/>
      <c r="B143" s="3"/>
      <c r="C143" s="3"/>
      <c r="D143" s="3"/>
      <c r="E143" s="3"/>
      <c r="J143" s="12"/>
      <c r="K143" s="12"/>
      <c r="L143" s="12"/>
      <c r="M143" s="12"/>
      <c r="N143" s="12"/>
      <c r="O143" s="12"/>
    </row>
    <row r="144" spans="1:15" s="2" customFormat="1">
      <c r="A144" s="4"/>
      <c r="B144" s="3"/>
      <c r="C144" s="3"/>
      <c r="D144" s="3"/>
      <c r="E144" s="3"/>
      <c r="J144" s="12"/>
      <c r="K144" s="12"/>
      <c r="L144" s="12"/>
      <c r="M144" s="12"/>
      <c r="N144" s="12"/>
      <c r="O144" s="12"/>
    </row>
    <row r="145" spans="1:15" s="2" customFormat="1">
      <c r="A145" s="4"/>
      <c r="B145" s="3"/>
      <c r="C145" s="3"/>
      <c r="D145" s="3"/>
      <c r="E145" s="3"/>
      <c r="J145" s="12"/>
      <c r="K145" s="12"/>
      <c r="L145" s="12"/>
      <c r="M145" s="12"/>
      <c r="N145" s="12"/>
      <c r="O145" s="12"/>
    </row>
    <row r="146" spans="1:15" s="2" customFormat="1">
      <c r="A146" s="4"/>
      <c r="B146" s="3"/>
      <c r="C146" s="3"/>
      <c r="D146" s="3"/>
      <c r="E146" s="3"/>
      <c r="J146" s="12"/>
      <c r="K146" s="12"/>
      <c r="L146" s="12"/>
      <c r="M146" s="12"/>
      <c r="N146" s="12"/>
      <c r="O146" s="12"/>
    </row>
    <row r="147" spans="1:15" s="2" customFormat="1">
      <c r="A147" s="4"/>
      <c r="B147" s="3"/>
      <c r="C147" s="3"/>
      <c r="D147" s="3"/>
      <c r="E147" s="3"/>
      <c r="J147" s="12"/>
      <c r="K147" s="12"/>
      <c r="L147" s="12"/>
      <c r="M147" s="12"/>
      <c r="N147" s="12"/>
      <c r="O147" s="12"/>
    </row>
    <row r="148" spans="1:15" s="2" customFormat="1">
      <c r="A148" s="4"/>
      <c r="B148" s="3"/>
      <c r="C148" s="3"/>
      <c r="D148" s="3"/>
      <c r="E148" s="3"/>
      <c r="J148" s="12"/>
      <c r="K148" s="12"/>
      <c r="L148" s="12"/>
      <c r="M148" s="12"/>
      <c r="N148" s="12"/>
      <c r="O148" s="12"/>
    </row>
    <row r="149" spans="1:15" s="2" customFormat="1">
      <c r="A149" s="4"/>
      <c r="B149" s="3"/>
      <c r="C149" s="3"/>
      <c r="D149" s="3"/>
      <c r="E149" s="3"/>
      <c r="J149" s="12"/>
      <c r="K149" s="12"/>
      <c r="L149" s="12"/>
      <c r="M149" s="12"/>
      <c r="N149" s="12"/>
      <c r="O149" s="12"/>
    </row>
    <row r="150" spans="1:15" s="2" customFormat="1">
      <c r="A150" s="4"/>
      <c r="B150" s="3"/>
      <c r="C150" s="3"/>
      <c r="D150" s="3"/>
      <c r="E150" s="3"/>
      <c r="J150" s="12"/>
      <c r="K150" s="12"/>
      <c r="L150" s="12"/>
      <c r="M150" s="12"/>
      <c r="N150" s="12"/>
      <c r="O150" s="12"/>
    </row>
    <row r="151" spans="1:15" s="2" customFormat="1">
      <c r="A151" s="4"/>
      <c r="B151" s="3"/>
      <c r="C151" s="3"/>
      <c r="D151" s="3"/>
      <c r="E151" s="3"/>
      <c r="J151" s="12"/>
      <c r="K151" s="12"/>
      <c r="L151" s="12"/>
      <c r="M151" s="12"/>
      <c r="N151" s="12"/>
      <c r="O151" s="12"/>
    </row>
    <row r="152" spans="1:15" s="2" customFormat="1">
      <c r="A152" s="4"/>
      <c r="B152" s="3"/>
      <c r="C152" s="3"/>
      <c r="D152" s="3"/>
      <c r="E152" s="3"/>
      <c r="J152" s="12"/>
      <c r="K152" s="12"/>
      <c r="L152" s="12"/>
      <c r="M152" s="12"/>
      <c r="N152" s="12"/>
      <c r="O152" s="12"/>
    </row>
    <row r="153" spans="1:15" s="2" customFormat="1">
      <c r="A153" s="4"/>
      <c r="B153" s="3"/>
      <c r="C153" s="3"/>
      <c r="D153" s="3"/>
      <c r="E153" s="3"/>
      <c r="J153" s="12"/>
      <c r="K153" s="12"/>
      <c r="L153" s="12"/>
      <c r="M153" s="12"/>
      <c r="N153" s="12"/>
      <c r="O153" s="12"/>
    </row>
    <row r="154" spans="1:15" s="2" customFormat="1">
      <c r="A154" s="4"/>
      <c r="B154" s="3"/>
      <c r="C154" s="3"/>
      <c r="D154" s="3"/>
      <c r="E154" s="3"/>
      <c r="J154" s="12"/>
      <c r="K154" s="12"/>
      <c r="L154" s="12"/>
      <c r="M154" s="12"/>
      <c r="N154" s="12"/>
      <c r="O154" s="12"/>
    </row>
    <row r="155" spans="1:15" s="2" customFormat="1">
      <c r="A155" s="4"/>
      <c r="B155" s="3"/>
      <c r="C155" s="3"/>
      <c r="D155" s="3"/>
      <c r="E155" s="3"/>
      <c r="J155" s="12"/>
      <c r="K155" s="12"/>
      <c r="L155" s="12"/>
      <c r="M155" s="12"/>
      <c r="N155" s="12"/>
      <c r="O155" s="12"/>
    </row>
    <row r="156" spans="1:15" s="2" customFormat="1">
      <c r="A156" s="4"/>
      <c r="B156" s="3"/>
      <c r="C156" s="3"/>
      <c r="D156" s="3"/>
      <c r="E156" s="3"/>
      <c r="J156" s="12"/>
      <c r="K156" s="12"/>
      <c r="L156" s="12"/>
      <c r="M156" s="12"/>
      <c r="N156" s="12"/>
      <c r="O156" s="12"/>
    </row>
    <row r="157" spans="1:15" s="2" customFormat="1">
      <c r="A157" s="4"/>
      <c r="B157" s="3"/>
      <c r="C157" s="3"/>
      <c r="D157" s="3"/>
      <c r="E157" s="3"/>
      <c r="J157" s="12"/>
      <c r="K157" s="12"/>
      <c r="L157" s="12"/>
      <c r="M157" s="12"/>
      <c r="N157" s="12"/>
      <c r="O157" s="12"/>
    </row>
    <row r="158" spans="1:15" s="2" customFormat="1">
      <c r="A158" s="4"/>
      <c r="B158" s="3"/>
      <c r="C158" s="3"/>
      <c r="D158" s="3"/>
      <c r="E158" s="3"/>
      <c r="J158" s="12"/>
      <c r="K158" s="12"/>
      <c r="L158" s="12"/>
      <c r="M158" s="12"/>
      <c r="N158" s="12"/>
      <c r="O158" s="12"/>
    </row>
    <row r="159" spans="1:15" s="2" customFormat="1">
      <c r="A159" s="4"/>
      <c r="B159" s="3"/>
      <c r="C159" s="3"/>
      <c r="D159" s="3"/>
      <c r="E159" s="3"/>
      <c r="J159" s="12"/>
      <c r="K159" s="12"/>
      <c r="L159" s="12"/>
      <c r="M159" s="12"/>
      <c r="N159" s="12"/>
      <c r="O159" s="12"/>
    </row>
    <row r="160" spans="1:15" s="2" customFormat="1">
      <c r="A160" s="4"/>
      <c r="B160" s="3"/>
      <c r="C160" s="3"/>
      <c r="D160" s="3"/>
      <c r="E160" s="3"/>
      <c r="J160" s="12"/>
      <c r="K160" s="12"/>
      <c r="L160" s="12"/>
      <c r="M160" s="12"/>
      <c r="N160" s="12"/>
      <c r="O160" s="12"/>
    </row>
    <row r="161" spans="1:15" s="2" customFormat="1">
      <c r="A161" s="4"/>
      <c r="B161" s="3"/>
      <c r="C161" s="3"/>
      <c r="D161" s="3"/>
      <c r="E161" s="3"/>
      <c r="J161" s="12"/>
      <c r="K161" s="12"/>
      <c r="L161" s="12"/>
      <c r="M161" s="12"/>
      <c r="N161" s="12"/>
      <c r="O161" s="12"/>
    </row>
    <row r="162" spans="1:15" s="2" customFormat="1">
      <c r="A162" s="4"/>
      <c r="B162" s="3"/>
      <c r="C162" s="3"/>
      <c r="D162" s="3"/>
      <c r="E162" s="3"/>
      <c r="J162" s="12"/>
      <c r="K162" s="12"/>
      <c r="L162" s="12"/>
      <c r="M162" s="12"/>
      <c r="N162" s="12"/>
      <c r="O162" s="12"/>
    </row>
    <row r="163" spans="1:15" s="2" customFormat="1">
      <c r="A163" s="4"/>
      <c r="B163" s="3"/>
      <c r="C163" s="3"/>
      <c r="D163" s="3"/>
      <c r="E163" s="3"/>
      <c r="J163" s="12"/>
      <c r="K163" s="12"/>
      <c r="L163" s="12"/>
      <c r="M163" s="12"/>
      <c r="N163" s="12"/>
      <c r="O163" s="12"/>
    </row>
    <row r="164" spans="1:15" s="2" customFormat="1">
      <c r="A164" s="4"/>
      <c r="B164" s="3"/>
      <c r="C164" s="3"/>
      <c r="D164" s="3"/>
      <c r="E164" s="3"/>
      <c r="J164" s="12"/>
      <c r="K164" s="12"/>
      <c r="L164" s="12"/>
      <c r="M164" s="12"/>
      <c r="N164" s="12"/>
      <c r="O164" s="12"/>
    </row>
    <row r="165" spans="1:15" s="2" customFormat="1">
      <c r="A165" s="4"/>
      <c r="B165" s="3"/>
      <c r="C165" s="3"/>
      <c r="D165" s="3"/>
      <c r="E165" s="3"/>
      <c r="J165" s="12"/>
      <c r="K165" s="12"/>
      <c r="L165" s="12"/>
      <c r="M165" s="12"/>
      <c r="N165" s="12"/>
      <c r="O165" s="12"/>
    </row>
    <row r="166" spans="1:15" s="2" customFormat="1">
      <c r="A166" s="4"/>
      <c r="B166" s="3"/>
      <c r="C166" s="3"/>
      <c r="D166" s="3"/>
      <c r="E166" s="3"/>
      <c r="J166" s="12"/>
      <c r="K166" s="12"/>
      <c r="L166" s="12"/>
      <c r="M166" s="12"/>
      <c r="N166" s="12"/>
      <c r="O166" s="12"/>
    </row>
    <row r="167" spans="1:15" s="2" customFormat="1">
      <c r="A167" s="4"/>
      <c r="B167" s="3"/>
      <c r="C167" s="3"/>
      <c r="D167" s="3"/>
      <c r="E167" s="3"/>
      <c r="J167" s="12"/>
      <c r="K167" s="12"/>
      <c r="L167" s="12"/>
      <c r="M167" s="12"/>
      <c r="N167" s="12"/>
      <c r="O167" s="12"/>
    </row>
    <row r="168" spans="1:15" s="2" customFormat="1">
      <c r="A168" s="4"/>
      <c r="B168" s="3"/>
      <c r="C168" s="3"/>
      <c r="D168" s="3"/>
      <c r="E168" s="3"/>
      <c r="J168" s="12"/>
      <c r="K168" s="12"/>
      <c r="L168" s="12"/>
      <c r="M168" s="12"/>
      <c r="N168" s="12"/>
      <c r="O168" s="12"/>
    </row>
    <row r="169" spans="1:15" s="2" customFormat="1">
      <c r="A169" s="4"/>
      <c r="B169" s="3"/>
      <c r="C169" s="3"/>
      <c r="D169" s="3"/>
      <c r="E169" s="3"/>
      <c r="J169" s="12"/>
      <c r="K169" s="12"/>
      <c r="L169" s="12"/>
      <c r="M169" s="12"/>
      <c r="N169" s="12"/>
      <c r="O169" s="12"/>
    </row>
    <row r="170" spans="1:15" s="2" customFormat="1">
      <c r="A170" s="4"/>
      <c r="B170" s="3"/>
      <c r="C170" s="3"/>
      <c r="D170" s="3"/>
      <c r="E170" s="3"/>
      <c r="J170" s="12"/>
      <c r="K170" s="12"/>
      <c r="L170" s="12"/>
      <c r="M170" s="12"/>
      <c r="N170" s="12"/>
      <c r="O170" s="12"/>
    </row>
    <row r="171" spans="1:15" s="2" customFormat="1">
      <c r="A171" s="4"/>
      <c r="B171" s="3"/>
      <c r="C171" s="3"/>
      <c r="D171" s="3"/>
      <c r="E171" s="3"/>
      <c r="J171" s="12"/>
      <c r="K171" s="12"/>
      <c r="L171" s="12"/>
      <c r="M171" s="12"/>
      <c r="N171" s="12"/>
      <c r="O171" s="12"/>
    </row>
    <row r="172" spans="1:15" s="2" customFormat="1">
      <c r="A172" s="4"/>
      <c r="B172" s="3"/>
      <c r="C172" s="3"/>
      <c r="D172" s="3"/>
      <c r="E172" s="3"/>
      <c r="J172" s="12"/>
      <c r="K172" s="12"/>
      <c r="L172" s="12"/>
      <c r="M172" s="12"/>
      <c r="N172" s="12"/>
      <c r="O172" s="12"/>
    </row>
    <row r="173" spans="1:15" s="2" customFormat="1">
      <c r="A173" s="4"/>
      <c r="B173" s="3"/>
      <c r="C173" s="3"/>
      <c r="D173" s="3"/>
      <c r="E173" s="3"/>
      <c r="J173" s="12"/>
      <c r="K173" s="12"/>
      <c r="L173" s="12"/>
      <c r="M173" s="12"/>
      <c r="N173" s="12"/>
      <c r="O173" s="12"/>
    </row>
    <row r="174" spans="1:15" s="2" customFormat="1">
      <c r="A174" s="4"/>
      <c r="B174" s="3"/>
      <c r="C174" s="3"/>
      <c r="D174" s="3"/>
      <c r="E174" s="3"/>
      <c r="J174" s="12"/>
      <c r="K174" s="12"/>
      <c r="L174" s="12"/>
      <c r="M174" s="12"/>
      <c r="N174" s="12"/>
      <c r="O174" s="12"/>
    </row>
    <row r="175" spans="1:15" s="2" customFormat="1">
      <c r="A175" s="4"/>
      <c r="B175" s="3"/>
      <c r="C175" s="3"/>
      <c r="D175" s="3"/>
      <c r="E175" s="3"/>
      <c r="J175" s="12"/>
      <c r="K175" s="12"/>
      <c r="L175" s="12"/>
      <c r="M175" s="12"/>
      <c r="N175" s="12"/>
      <c r="O175" s="12"/>
    </row>
    <row r="176" spans="1:15" s="2" customFormat="1">
      <c r="A176" s="4"/>
      <c r="B176" s="3"/>
      <c r="C176" s="3"/>
      <c r="D176" s="3"/>
      <c r="E176" s="3"/>
      <c r="J176" s="12"/>
      <c r="K176" s="12"/>
      <c r="L176" s="12"/>
      <c r="M176" s="12"/>
      <c r="N176" s="12"/>
      <c r="O176" s="12"/>
    </row>
    <row r="177" spans="1:15" s="2" customFormat="1">
      <c r="A177" s="4"/>
      <c r="B177" s="3"/>
      <c r="C177" s="3"/>
      <c r="D177" s="3"/>
      <c r="E177" s="3"/>
      <c r="J177" s="12"/>
      <c r="K177" s="12"/>
      <c r="L177" s="12"/>
      <c r="M177" s="12"/>
      <c r="N177" s="12"/>
      <c r="O177" s="12"/>
    </row>
    <row r="178" spans="1:15" s="2" customFormat="1">
      <c r="A178" s="4"/>
      <c r="B178" s="3"/>
      <c r="C178" s="3"/>
      <c r="D178" s="3"/>
      <c r="E178" s="3"/>
      <c r="J178" s="12"/>
      <c r="K178" s="12"/>
      <c r="L178" s="12"/>
      <c r="M178" s="12"/>
      <c r="N178" s="12"/>
      <c r="O178" s="12"/>
    </row>
    <row r="179" spans="1:15" s="2" customFormat="1">
      <c r="A179" s="4"/>
      <c r="B179" s="3"/>
      <c r="C179" s="3"/>
      <c r="D179" s="3"/>
      <c r="E179" s="3"/>
      <c r="J179" s="12"/>
      <c r="K179" s="12"/>
      <c r="L179" s="12"/>
      <c r="M179" s="12"/>
      <c r="N179" s="12"/>
      <c r="O179" s="12"/>
    </row>
    <row r="180" spans="1:15" s="2" customFormat="1">
      <c r="A180" s="4"/>
      <c r="B180" s="3"/>
      <c r="C180" s="3"/>
      <c r="D180" s="3"/>
      <c r="E180" s="3"/>
      <c r="J180" s="12"/>
      <c r="K180" s="12"/>
      <c r="L180" s="12"/>
      <c r="M180" s="12"/>
      <c r="N180" s="12"/>
      <c r="O180" s="12"/>
    </row>
    <row r="181" spans="1:15" s="2" customFormat="1">
      <c r="A181" s="4"/>
      <c r="B181" s="3"/>
      <c r="C181" s="3"/>
      <c r="D181" s="3"/>
      <c r="E181" s="3"/>
      <c r="J181" s="12"/>
      <c r="K181" s="12"/>
      <c r="L181" s="12"/>
      <c r="M181" s="12"/>
      <c r="N181" s="12"/>
      <c r="O181" s="12"/>
    </row>
    <row r="182" spans="1:15" s="2" customFormat="1">
      <c r="A182" s="4"/>
      <c r="B182" s="3"/>
      <c r="C182" s="3"/>
      <c r="D182" s="3"/>
      <c r="E182" s="3"/>
      <c r="J182" s="12"/>
      <c r="K182" s="12"/>
      <c r="L182" s="12"/>
      <c r="M182" s="12"/>
      <c r="N182" s="12"/>
      <c r="O182" s="12"/>
    </row>
    <row r="183" spans="1:15" s="2" customFormat="1">
      <c r="A183" s="4"/>
      <c r="B183" s="3"/>
      <c r="C183" s="3"/>
      <c r="D183" s="3"/>
      <c r="E183" s="3"/>
      <c r="J183" s="12"/>
      <c r="K183" s="12"/>
      <c r="L183" s="12"/>
      <c r="M183" s="12"/>
      <c r="N183" s="12"/>
      <c r="O183" s="12"/>
    </row>
    <row r="184" spans="1:15" s="2" customFormat="1">
      <c r="A184" s="4"/>
      <c r="B184" s="3"/>
      <c r="C184" s="3"/>
      <c r="D184" s="3"/>
      <c r="E184" s="3"/>
      <c r="J184" s="12"/>
      <c r="K184" s="12"/>
      <c r="L184" s="12"/>
      <c r="M184" s="12"/>
      <c r="N184" s="12"/>
      <c r="O184" s="12"/>
    </row>
    <row r="185" spans="1:15" s="2" customFormat="1">
      <c r="A185" s="4"/>
      <c r="B185" s="3"/>
      <c r="C185" s="3"/>
      <c r="D185" s="3"/>
      <c r="E185" s="3"/>
      <c r="J185" s="12"/>
      <c r="K185" s="12"/>
      <c r="L185" s="12"/>
      <c r="M185" s="12"/>
      <c r="N185" s="12"/>
      <c r="O185" s="12"/>
    </row>
    <row r="186" spans="1:15" s="2" customFormat="1">
      <c r="A186" s="4"/>
      <c r="B186" s="3"/>
      <c r="C186" s="3"/>
      <c r="D186" s="3"/>
      <c r="E186" s="3"/>
      <c r="J186" s="12"/>
      <c r="K186" s="12"/>
      <c r="L186" s="12"/>
      <c r="M186" s="12"/>
      <c r="N186" s="12"/>
      <c r="O186" s="12"/>
    </row>
    <row r="187" spans="1:15" s="2" customFormat="1">
      <c r="A187" s="4"/>
      <c r="B187" s="3"/>
      <c r="C187" s="3"/>
      <c r="D187" s="3"/>
      <c r="E187" s="3"/>
      <c r="J187" s="12"/>
      <c r="K187" s="12"/>
      <c r="L187" s="12"/>
      <c r="M187" s="12"/>
      <c r="N187" s="12"/>
      <c r="O187" s="12"/>
    </row>
    <row r="188" spans="1:15" s="2" customFormat="1">
      <c r="A188" s="4"/>
      <c r="B188" s="3"/>
      <c r="C188" s="3"/>
      <c r="D188" s="3"/>
      <c r="E188" s="3"/>
      <c r="J188" s="12"/>
      <c r="K188" s="12"/>
      <c r="L188" s="12"/>
      <c r="M188" s="12"/>
      <c r="N188" s="12"/>
      <c r="O188" s="12"/>
    </row>
    <row r="189" spans="1:15" s="2" customFormat="1">
      <c r="A189" s="4"/>
      <c r="B189" s="3"/>
      <c r="C189" s="3"/>
      <c r="D189" s="3"/>
      <c r="E189" s="3"/>
      <c r="J189" s="12"/>
      <c r="K189" s="12"/>
      <c r="L189" s="12"/>
      <c r="M189" s="12"/>
      <c r="N189" s="12"/>
      <c r="O189" s="12"/>
    </row>
    <row r="190" spans="1:15" s="2" customFormat="1">
      <c r="A190" s="4"/>
      <c r="B190" s="3"/>
      <c r="C190" s="3"/>
      <c r="D190" s="3"/>
      <c r="E190" s="3"/>
      <c r="J190" s="12"/>
      <c r="K190" s="12"/>
      <c r="L190" s="12"/>
      <c r="M190" s="12"/>
      <c r="N190" s="12"/>
      <c r="O190" s="12"/>
    </row>
    <row r="191" spans="1:15" s="2" customFormat="1">
      <c r="A191" s="4"/>
      <c r="B191" s="3"/>
      <c r="C191" s="3"/>
      <c r="D191" s="3"/>
      <c r="E191" s="3"/>
      <c r="J191" s="12"/>
      <c r="K191" s="12"/>
      <c r="L191" s="12"/>
      <c r="M191" s="12"/>
      <c r="N191" s="12"/>
      <c r="O191" s="12"/>
    </row>
    <row r="192" spans="1:15" s="2" customFormat="1">
      <c r="A192" s="4"/>
      <c r="B192" s="3"/>
      <c r="C192" s="3"/>
      <c r="D192" s="3"/>
      <c r="E192" s="3"/>
      <c r="J192" s="12"/>
      <c r="K192" s="12"/>
      <c r="L192" s="12"/>
      <c r="M192" s="12"/>
      <c r="N192" s="12"/>
      <c r="O192" s="12"/>
    </row>
    <row r="193" spans="1:15" s="2" customFormat="1">
      <c r="A193" s="4"/>
      <c r="B193" s="3"/>
      <c r="C193" s="3"/>
      <c r="D193" s="3"/>
      <c r="E193" s="3"/>
      <c r="J193" s="12"/>
      <c r="K193" s="12"/>
      <c r="L193" s="12"/>
      <c r="M193" s="12"/>
      <c r="N193" s="12"/>
      <c r="O193" s="12"/>
    </row>
    <row r="194" spans="1:15" s="2" customFormat="1">
      <c r="A194" s="4"/>
      <c r="B194" s="3"/>
      <c r="C194" s="3"/>
      <c r="D194" s="3"/>
      <c r="E194" s="3"/>
      <c r="J194" s="12"/>
      <c r="K194" s="12"/>
      <c r="L194" s="12"/>
      <c r="M194" s="12"/>
      <c r="N194" s="12"/>
      <c r="O194" s="12"/>
    </row>
    <row r="195" spans="1:15" s="2" customFormat="1">
      <c r="A195" s="4"/>
      <c r="B195" s="3"/>
      <c r="C195" s="3"/>
      <c r="D195" s="3"/>
      <c r="E195" s="3"/>
      <c r="J195" s="12"/>
      <c r="K195" s="12"/>
      <c r="L195" s="12"/>
      <c r="M195" s="12"/>
      <c r="N195" s="12"/>
      <c r="O195" s="12"/>
    </row>
    <row r="196" spans="1:15" s="2" customFormat="1">
      <c r="A196" s="4"/>
      <c r="B196" s="3"/>
      <c r="C196" s="3"/>
      <c r="D196" s="3"/>
      <c r="E196" s="3"/>
      <c r="J196" s="12"/>
      <c r="K196" s="12"/>
      <c r="L196" s="12"/>
      <c r="M196" s="12"/>
      <c r="N196" s="12"/>
      <c r="O196" s="12"/>
    </row>
    <row r="197" spans="1:15" s="2" customFormat="1">
      <c r="A197" s="4"/>
      <c r="B197" s="3"/>
      <c r="C197" s="3"/>
      <c r="D197" s="3"/>
      <c r="E197" s="3"/>
      <c r="J197" s="12"/>
      <c r="K197" s="12"/>
      <c r="L197" s="12"/>
      <c r="M197" s="12"/>
      <c r="N197" s="12"/>
      <c r="O197" s="12"/>
    </row>
    <row r="198" spans="1:15" s="2" customFormat="1">
      <c r="A198" s="4"/>
      <c r="B198" s="3"/>
      <c r="C198" s="3"/>
      <c r="D198" s="3"/>
      <c r="E198" s="3"/>
      <c r="J198" s="12"/>
      <c r="K198" s="12"/>
      <c r="L198" s="12"/>
      <c r="M198" s="12"/>
      <c r="N198" s="12"/>
      <c r="O198" s="12"/>
    </row>
    <row r="199" spans="1:15" s="2" customFormat="1">
      <c r="A199" s="4"/>
      <c r="B199" s="3"/>
      <c r="C199" s="3"/>
      <c r="D199" s="3"/>
      <c r="E199" s="3"/>
      <c r="J199" s="12"/>
      <c r="K199" s="12"/>
      <c r="L199" s="12"/>
      <c r="M199" s="12"/>
      <c r="N199" s="12"/>
      <c r="O199" s="12"/>
    </row>
    <row r="200" spans="1:15" s="2" customFormat="1">
      <c r="A200" s="4"/>
      <c r="B200" s="3"/>
      <c r="C200" s="3"/>
      <c r="D200" s="3"/>
      <c r="E200" s="3"/>
      <c r="J200" s="12"/>
      <c r="K200" s="12"/>
      <c r="L200" s="12"/>
      <c r="M200" s="12"/>
      <c r="N200" s="12"/>
      <c r="O200" s="12"/>
    </row>
    <row r="201" spans="1:15" s="2" customFormat="1">
      <c r="A201" s="4"/>
      <c r="B201" s="3"/>
      <c r="C201" s="3"/>
      <c r="D201" s="3"/>
      <c r="E201" s="3"/>
      <c r="J201" s="12"/>
      <c r="K201" s="12"/>
      <c r="L201" s="12"/>
      <c r="M201" s="12"/>
      <c r="N201" s="12"/>
      <c r="O201" s="12"/>
    </row>
    <row r="202" spans="1:15" s="2" customFormat="1">
      <c r="A202" s="4"/>
      <c r="B202" s="3"/>
      <c r="C202" s="3"/>
      <c r="D202" s="3"/>
      <c r="E202" s="3"/>
      <c r="J202" s="12"/>
      <c r="K202" s="12"/>
      <c r="L202" s="12"/>
      <c r="M202" s="12"/>
      <c r="N202" s="12"/>
      <c r="O202" s="12"/>
    </row>
    <row r="203" spans="1:15" s="2" customFormat="1">
      <c r="A203" s="4"/>
      <c r="B203" s="3"/>
      <c r="C203" s="3"/>
      <c r="D203" s="3"/>
      <c r="E203" s="3"/>
      <c r="J203" s="12"/>
      <c r="K203" s="12"/>
      <c r="L203" s="12"/>
      <c r="M203" s="12"/>
      <c r="N203" s="12"/>
      <c r="O203" s="12"/>
    </row>
    <row r="204" spans="1:15" s="2" customFormat="1">
      <c r="A204" s="4"/>
      <c r="B204" s="3"/>
      <c r="C204" s="3"/>
      <c r="D204" s="3"/>
      <c r="E204" s="3"/>
      <c r="J204" s="12"/>
      <c r="K204" s="12"/>
      <c r="L204" s="12"/>
      <c r="M204" s="12"/>
      <c r="N204" s="12"/>
      <c r="O204" s="12"/>
    </row>
    <row r="205" spans="1:15" s="2" customFormat="1">
      <c r="A205" s="4"/>
      <c r="B205" s="3"/>
      <c r="C205" s="3"/>
      <c r="D205" s="3"/>
      <c r="E205" s="3"/>
      <c r="J205" s="12"/>
      <c r="K205" s="12"/>
      <c r="L205" s="12"/>
      <c r="M205" s="12"/>
      <c r="N205" s="12"/>
      <c r="O205" s="12"/>
    </row>
    <row r="206" spans="1:15" s="2" customFormat="1">
      <c r="A206" s="4"/>
      <c r="B206" s="3"/>
      <c r="C206" s="3"/>
      <c r="D206" s="3"/>
      <c r="E206" s="3"/>
      <c r="J206" s="12"/>
      <c r="K206" s="12"/>
      <c r="L206" s="12"/>
      <c r="M206" s="12"/>
      <c r="N206" s="12"/>
      <c r="O206" s="12"/>
    </row>
    <row r="207" spans="1:15" s="2" customFormat="1">
      <c r="A207" s="4"/>
      <c r="B207" s="3"/>
      <c r="C207" s="3"/>
      <c r="D207" s="3"/>
      <c r="E207" s="3"/>
      <c r="J207" s="12"/>
      <c r="K207" s="12"/>
      <c r="L207" s="12"/>
      <c r="M207" s="12"/>
      <c r="N207" s="12"/>
      <c r="O207" s="12"/>
    </row>
    <row r="208" spans="1:15" s="2" customFormat="1">
      <c r="A208" s="4"/>
      <c r="B208" s="3"/>
      <c r="C208" s="3"/>
      <c r="D208" s="3"/>
      <c r="E208" s="3"/>
      <c r="J208" s="12"/>
      <c r="K208" s="12"/>
      <c r="L208" s="12"/>
      <c r="M208" s="12"/>
      <c r="N208" s="12"/>
      <c r="O208" s="12"/>
    </row>
    <row r="209" spans="1:15" s="2" customFormat="1">
      <c r="A209" s="4"/>
      <c r="B209" s="3"/>
      <c r="C209" s="3"/>
      <c r="D209" s="3"/>
      <c r="E209" s="3"/>
      <c r="J209" s="12"/>
      <c r="K209" s="12"/>
      <c r="L209" s="12"/>
      <c r="M209" s="12"/>
      <c r="N209" s="12"/>
      <c r="O209" s="12"/>
    </row>
    <row r="210" spans="1:15" s="2" customFormat="1">
      <c r="A210" s="4"/>
      <c r="B210" s="3"/>
      <c r="C210" s="3"/>
      <c r="D210" s="3"/>
      <c r="E210" s="3"/>
      <c r="J210" s="12"/>
      <c r="K210" s="12"/>
      <c r="L210" s="12"/>
      <c r="M210" s="12"/>
      <c r="N210" s="12"/>
      <c r="O210" s="12"/>
    </row>
    <row r="211" spans="1:15" s="2" customFormat="1">
      <c r="A211" s="4"/>
      <c r="B211" s="3"/>
      <c r="C211" s="3"/>
      <c r="D211" s="3"/>
      <c r="E211" s="3"/>
      <c r="J211" s="12"/>
      <c r="K211" s="12"/>
      <c r="L211" s="12"/>
      <c r="M211" s="12"/>
      <c r="N211" s="12"/>
      <c r="O211" s="12"/>
    </row>
    <row r="212" spans="1:15" s="2" customFormat="1">
      <c r="A212" s="4"/>
      <c r="B212" s="3"/>
      <c r="C212" s="3"/>
      <c r="D212" s="3"/>
      <c r="E212" s="3"/>
      <c r="J212" s="12"/>
      <c r="K212" s="12"/>
      <c r="L212" s="12"/>
      <c r="M212" s="12"/>
      <c r="N212" s="12"/>
      <c r="O212" s="12"/>
    </row>
    <row r="213" spans="1:15" s="2" customFormat="1">
      <c r="A213" s="4"/>
      <c r="B213" s="3"/>
      <c r="C213" s="3"/>
      <c r="D213" s="3"/>
      <c r="E213" s="3"/>
      <c r="J213" s="12"/>
      <c r="K213" s="12"/>
      <c r="L213" s="12"/>
      <c r="M213" s="12"/>
      <c r="N213" s="12"/>
      <c r="O213" s="12"/>
    </row>
    <row r="214" spans="1:15" s="2" customFormat="1">
      <c r="A214" s="4"/>
      <c r="B214" s="3"/>
      <c r="C214" s="3"/>
      <c r="D214" s="3"/>
      <c r="E214" s="3"/>
      <c r="J214" s="12"/>
      <c r="K214" s="12"/>
      <c r="L214" s="12"/>
      <c r="M214" s="12"/>
      <c r="N214" s="12"/>
      <c r="O214" s="12"/>
    </row>
    <row r="215" spans="1:15" s="2" customFormat="1">
      <c r="A215" s="4"/>
      <c r="B215" s="3"/>
      <c r="C215" s="3"/>
      <c r="D215" s="3"/>
      <c r="E215" s="3"/>
      <c r="J215" s="12"/>
      <c r="K215" s="12"/>
      <c r="L215" s="12"/>
      <c r="M215" s="12"/>
      <c r="N215" s="12"/>
      <c r="O215" s="12"/>
    </row>
    <row r="216" spans="1:15" s="2" customFormat="1">
      <c r="A216" s="4"/>
      <c r="B216" s="3"/>
      <c r="C216" s="3"/>
      <c r="D216" s="3"/>
      <c r="E216" s="3"/>
      <c r="J216" s="12"/>
      <c r="K216" s="12"/>
      <c r="L216" s="12"/>
      <c r="M216" s="12"/>
      <c r="N216" s="12"/>
      <c r="O216" s="12"/>
    </row>
    <row r="217" spans="1:15" s="2" customFormat="1">
      <c r="A217" s="4"/>
      <c r="B217" s="3"/>
      <c r="C217" s="3"/>
      <c r="D217" s="3"/>
      <c r="E217" s="3"/>
      <c r="J217" s="12"/>
      <c r="K217" s="12"/>
      <c r="L217" s="12"/>
      <c r="M217" s="12"/>
      <c r="N217" s="12"/>
      <c r="O217" s="12"/>
    </row>
    <row r="218" spans="1:15" s="2" customFormat="1">
      <c r="A218" s="4"/>
      <c r="B218" s="3"/>
      <c r="C218" s="3"/>
      <c r="D218" s="3"/>
      <c r="E218" s="3"/>
      <c r="J218" s="12"/>
      <c r="K218" s="12"/>
      <c r="L218" s="12"/>
      <c r="M218" s="12"/>
      <c r="N218" s="12"/>
      <c r="O218" s="12"/>
    </row>
    <row r="219" spans="1:15" s="2" customFormat="1">
      <c r="A219" s="4"/>
      <c r="B219" s="3"/>
      <c r="C219" s="3"/>
      <c r="D219" s="3"/>
      <c r="E219" s="3"/>
      <c r="J219" s="12"/>
      <c r="K219" s="12"/>
      <c r="L219" s="12"/>
      <c r="M219" s="12"/>
      <c r="N219" s="12"/>
      <c r="O219" s="12"/>
    </row>
    <row r="220" spans="1:15" s="2" customFormat="1">
      <c r="A220" s="4"/>
      <c r="B220" s="3"/>
      <c r="C220" s="3"/>
      <c r="D220" s="3"/>
      <c r="E220" s="3"/>
      <c r="J220" s="12"/>
      <c r="K220" s="12"/>
      <c r="L220" s="12"/>
      <c r="M220" s="12"/>
      <c r="N220" s="12"/>
      <c r="O220" s="12"/>
    </row>
    <row r="221" spans="1:15" s="2" customFormat="1">
      <c r="A221" s="4"/>
      <c r="B221" s="3"/>
      <c r="C221" s="3"/>
      <c r="D221" s="3"/>
      <c r="E221" s="3"/>
      <c r="J221" s="12"/>
      <c r="K221" s="12"/>
      <c r="L221" s="12"/>
      <c r="M221" s="12"/>
      <c r="N221" s="12"/>
      <c r="O221" s="12"/>
    </row>
    <row r="222" spans="1:15" s="2" customFormat="1">
      <c r="A222" s="4"/>
      <c r="B222" s="3"/>
      <c r="C222" s="3"/>
      <c r="D222" s="3"/>
      <c r="E222" s="3"/>
      <c r="J222" s="12"/>
      <c r="K222" s="12"/>
      <c r="L222" s="12"/>
      <c r="M222" s="12"/>
      <c r="N222" s="12"/>
      <c r="O222" s="12"/>
    </row>
    <row r="223" spans="1:15" s="2" customFormat="1">
      <c r="A223" s="4"/>
      <c r="B223" s="3"/>
      <c r="C223" s="3"/>
      <c r="D223" s="3"/>
      <c r="E223" s="3"/>
      <c r="J223" s="12"/>
      <c r="K223" s="12"/>
      <c r="L223" s="12"/>
      <c r="M223" s="12"/>
      <c r="N223" s="12"/>
      <c r="O223" s="12"/>
    </row>
    <row r="224" spans="1:15" s="2" customFormat="1">
      <c r="A224" s="4"/>
      <c r="B224" s="3"/>
      <c r="C224" s="3"/>
      <c r="D224" s="3"/>
      <c r="E224" s="3"/>
      <c r="J224" s="12"/>
      <c r="K224" s="12"/>
      <c r="L224" s="12"/>
      <c r="M224" s="12"/>
      <c r="N224" s="12"/>
      <c r="O224" s="12"/>
    </row>
    <row r="225" spans="1:15" s="2" customFormat="1">
      <c r="A225" s="4"/>
      <c r="B225" s="3"/>
      <c r="C225" s="3"/>
      <c r="D225" s="3"/>
      <c r="E225" s="3"/>
      <c r="J225" s="12"/>
      <c r="K225" s="12"/>
      <c r="L225" s="12"/>
      <c r="M225" s="12"/>
      <c r="N225" s="12"/>
      <c r="O225" s="12"/>
    </row>
    <row r="226" spans="1:15" s="2" customFormat="1">
      <c r="A226" s="4"/>
      <c r="B226" s="3"/>
      <c r="C226" s="3"/>
      <c r="D226" s="3"/>
      <c r="E226" s="3"/>
      <c r="J226" s="12"/>
      <c r="K226" s="12"/>
      <c r="L226" s="12"/>
      <c r="M226" s="12"/>
      <c r="N226" s="12"/>
      <c r="O226" s="12"/>
    </row>
    <row r="227" spans="1:15" s="2" customFormat="1">
      <c r="A227" s="4"/>
      <c r="B227" s="3"/>
      <c r="C227" s="3"/>
      <c r="D227" s="3"/>
      <c r="E227" s="3"/>
      <c r="J227" s="12"/>
      <c r="K227" s="12"/>
      <c r="L227" s="12"/>
      <c r="M227" s="12"/>
      <c r="N227" s="12"/>
      <c r="O227" s="12"/>
    </row>
    <row r="228" spans="1:15" s="2" customFormat="1">
      <c r="A228" s="4"/>
      <c r="B228" s="3"/>
      <c r="C228" s="3"/>
      <c r="D228" s="3"/>
      <c r="E228" s="3"/>
      <c r="J228" s="12"/>
      <c r="K228" s="12"/>
      <c r="L228" s="12"/>
      <c r="M228" s="12"/>
      <c r="N228" s="12"/>
      <c r="O228" s="12"/>
    </row>
    <row r="229" spans="1:15" s="2" customFormat="1">
      <c r="A229" s="4"/>
      <c r="B229" s="3"/>
      <c r="C229" s="3"/>
      <c r="D229" s="3"/>
      <c r="E229" s="3"/>
      <c r="J229" s="12"/>
      <c r="K229" s="12"/>
      <c r="L229" s="12"/>
      <c r="M229" s="12"/>
      <c r="N229" s="12"/>
      <c r="O229" s="12"/>
    </row>
    <row r="230" spans="1:15" s="2" customFormat="1">
      <c r="A230" s="4"/>
      <c r="B230" s="3"/>
      <c r="C230" s="3"/>
      <c r="D230" s="3"/>
      <c r="E230" s="3"/>
      <c r="J230" s="12"/>
      <c r="K230" s="12"/>
      <c r="L230" s="12"/>
      <c r="M230" s="12"/>
      <c r="N230" s="12"/>
      <c r="O230" s="12"/>
    </row>
    <row r="231" spans="1:15" s="2" customFormat="1">
      <c r="A231" s="4"/>
      <c r="B231" s="3"/>
      <c r="C231" s="3"/>
      <c r="D231" s="3"/>
      <c r="E231" s="3"/>
      <c r="J231" s="12"/>
      <c r="K231" s="12"/>
      <c r="L231" s="12"/>
      <c r="M231" s="12"/>
      <c r="N231" s="12"/>
      <c r="O231" s="12"/>
    </row>
    <row r="232" spans="1:15" s="2" customFormat="1">
      <c r="A232" s="4"/>
      <c r="B232" s="3"/>
      <c r="C232" s="3"/>
      <c r="D232" s="3"/>
      <c r="E232" s="3"/>
      <c r="J232" s="12"/>
      <c r="K232" s="12"/>
      <c r="L232" s="12"/>
      <c r="M232" s="12"/>
      <c r="N232" s="12"/>
      <c r="O232" s="12"/>
    </row>
    <row r="233" spans="1:15" s="2" customFormat="1">
      <c r="A233" s="4"/>
      <c r="B233" s="3"/>
      <c r="C233" s="3"/>
      <c r="D233" s="3"/>
      <c r="E233" s="3"/>
      <c r="J233" s="12"/>
      <c r="K233" s="12"/>
      <c r="L233" s="12"/>
      <c r="M233" s="12"/>
      <c r="N233" s="12"/>
      <c r="O233" s="12"/>
    </row>
    <row r="234" spans="1:15" s="2" customFormat="1">
      <c r="A234" s="4"/>
      <c r="B234" s="3"/>
      <c r="C234" s="3"/>
      <c r="D234" s="3"/>
      <c r="E234" s="3"/>
      <c r="J234" s="12"/>
      <c r="K234" s="12"/>
      <c r="L234" s="12"/>
      <c r="M234" s="12"/>
      <c r="N234" s="12"/>
      <c r="O234" s="12"/>
    </row>
    <row r="235" spans="1:15" s="2" customFormat="1">
      <c r="A235" s="4"/>
      <c r="B235" s="3"/>
      <c r="C235" s="3"/>
      <c r="D235" s="3"/>
      <c r="E235" s="3"/>
      <c r="J235" s="12"/>
      <c r="K235" s="12"/>
      <c r="L235" s="12"/>
      <c r="M235" s="12"/>
      <c r="N235" s="12"/>
      <c r="O235" s="12"/>
    </row>
    <row r="236" spans="1:15" s="2" customFormat="1">
      <c r="A236" s="4"/>
      <c r="B236" s="3"/>
      <c r="C236" s="3"/>
      <c r="D236" s="3"/>
      <c r="E236" s="3"/>
      <c r="J236" s="12"/>
      <c r="K236" s="12"/>
      <c r="L236" s="12"/>
      <c r="M236" s="12"/>
      <c r="N236" s="12"/>
      <c r="O236" s="12"/>
    </row>
    <row r="237" spans="1:15" s="2" customFormat="1">
      <c r="A237" s="4"/>
      <c r="B237" s="3"/>
      <c r="C237" s="3"/>
      <c r="D237" s="3"/>
      <c r="E237" s="3"/>
      <c r="J237" s="12"/>
      <c r="K237" s="12"/>
      <c r="L237" s="12"/>
      <c r="M237" s="12"/>
      <c r="N237" s="12"/>
      <c r="O237" s="12"/>
    </row>
    <row r="238" spans="1:15" s="2" customFormat="1">
      <c r="A238" s="4"/>
      <c r="B238" s="3"/>
      <c r="C238" s="3"/>
      <c r="D238" s="3"/>
      <c r="E238" s="3"/>
      <c r="J238" s="12"/>
      <c r="K238" s="12"/>
      <c r="L238" s="12"/>
      <c r="M238" s="12"/>
      <c r="N238" s="12"/>
      <c r="O238" s="12"/>
    </row>
    <row r="239" spans="1:15" s="2" customFormat="1">
      <c r="A239" s="4"/>
      <c r="B239" s="3"/>
      <c r="C239" s="3"/>
      <c r="D239" s="3"/>
      <c r="E239" s="3"/>
      <c r="J239" s="12"/>
      <c r="K239" s="12"/>
      <c r="L239" s="12"/>
      <c r="M239" s="12"/>
      <c r="N239" s="12"/>
      <c r="O239" s="12"/>
    </row>
    <row r="240" spans="1:15" s="2" customFormat="1">
      <c r="A240" s="4"/>
      <c r="B240" s="3"/>
      <c r="C240" s="3"/>
      <c r="D240" s="3"/>
      <c r="E240" s="3"/>
      <c r="J240" s="12"/>
      <c r="K240" s="12"/>
      <c r="L240" s="12"/>
      <c r="M240" s="12"/>
      <c r="N240" s="12"/>
      <c r="O240" s="12"/>
    </row>
    <row r="241" spans="1:15" s="2" customFormat="1">
      <c r="A241" s="4"/>
      <c r="B241" s="3"/>
      <c r="C241" s="3"/>
      <c r="D241" s="3"/>
      <c r="E241" s="3"/>
      <c r="J241" s="12"/>
      <c r="K241" s="12"/>
      <c r="L241" s="12"/>
      <c r="M241" s="12"/>
      <c r="N241" s="12"/>
      <c r="O241" s="12"/>
    </row>
    <row r="242" spans="1:15" s="2" customFormat="1">
      <c r="A242" s="4"/>
      <c r="B242" s="3"/>
      <c r="C242" s="3"/>
      <c r="D242" s="3"/>
      <c r="E242" s="3"/>
      <c r="J242" s="12"/>
      <c r="K242" s="12"/>
      <c r="L242" s="12"/>
      <c r="M242" s="12"/>
      <c r="N242" s="12"/>
      <c r="O242" s="12"/>
    </row>
    <row r="243" spans="1:15" s="2" customFormat="1">
      <c r="A243" s="4"/>
      <c r="B243" s="3"/>
      <c r="C243" s="3"/>
      <c r="D243" s="3"/>
      <c r="E243" s="3"/>
      <c r="J243" s="12"/>
      <c r="K243" s="12"/>
      <c r="L243" s="12"/>
      <c r="M243" s="12"/>
      <c r="N243" s="12"/>
      <c r="O243" s="12"/>
    </row>
    <row r="244" spans="1:15" s="2" customFormat="1">
      <c r="A244" s="4"/>
      <c r="B244" s="3"/>
      <c r="C244" s="3"/>
      <c r="D244" s="3"/>
      <c r="E244" s="3"/>
      <c r="J244" s="12"/>
      <c r="K244" s="12"/>
      <c r="L244" s="12"/>
      <c r="M244" s="12"/>
      <c r="N244" s="12"/>
      <c r="O244" s="12"/>
    </row>
    <row r="245" spans="1:15" s="2" customFormat="1">
      <c r="A245" s="4"/>
      <c r="B245" s="3"/>
      <c r="C245" s="3"/>
      <c r="D245" s="3"/>
      <c r="E245" s="3"/>
      <c r="J245" s="12"/>
      <c r="K245" s="12"/>
      <c r="L245" s="12"/>
      <c r="M245" s="12"/>
      <c r="N245" s="12"/>
      <c r="O245" s="12"/>
    </row>
    <row r="246" spans="1:15" s="2" customFormat="1">
      <c r="A246" s="4"/>
      <c r="B246" s="3"/>
      <c r="C246" s="3"/>
      <c r="D246" s="3"/>
      <c r="E246" s="3"/>
      <c r="J246" s="12"/>
      <c r="K246" s="12"/>
      <c r="L246" s="12"/>
      <c r="M246" s="12"/>
      <c r="N246" s="12"/>
      <c r="O246" s="12"/>
    </row>
    <row r="247" spans="1:15" s="2" customFormat="1">
      <c r="A247" s="4"/>
      <c r="B247" s="3"/>
      <c r="C247" s="3"/>
      <c r="D247" s="3"/>
      <c r="E247" s="3"/>
      <c r="J247" s="12"/>
      <c r="K247" s="12"/>
      <c r="L247" s="12"/>
      <c r="M247" s="12"/>
      <c r="N247" s="12"/>
      <c r="O247" s="12"/>
    </row>
    <row r="248" spans="1:15" s="2" customFormat="1">
      <c r="A248" s="4"/>
      <c r="B248" s="3"/>
      <c r="C248" s="3"/>
      <c r="D248" s="3"/>
      <c r="E248" s="3"/>
      <c r="J248" s="12"/>
      <c r="K248" s="12"/>
      <c r="L248" s="12"/>
      <c r="M248" s="12"/>
      <c r="N248" s="12"/>
      <c r="O248" s="12"/>
    </row>
    <row r="249" spans="1:15" s="2" customFormat="1">
      <c r="A249" s="4"/>
      <c r="B249" s="3"/>
      <c r="C249" s="3"/>
      <c r="D249" s="3"/>
      <c r="E249" s="3"/>
      <c r="J249" s="12"/>
      <c r="K249" s="12"/>
      <c r="L249" s="12"/>
      <c r="M249" s="12"/>
      <c r="N249" s="12"/>
      <c r="O249" s="12"/>
    </row>
    <row r="250" spans="1:15" s="2" customFormat="1">
      <c r="A250" s="4"/>
      <c r="B250" s="3"/>
      <c r="C250" s="3"/>
      <c r="D250" s="3"/>
      <c r="E250" s="3"/>
      <c r="J250" s="12"/>
      <c r="K250" s="12"/>
      <c r="L250" s="12"/>
      <c r="M250" s="12"/>
      <c r="N250" s="12"/>
      <c r="O250" s="12"/>
    </row>
    <row r="251" spans="1:15" s="2" customFormat="1">
      <c r="A251" s="4"/>
      <c r="B251" s="3"/>
      <c r="C251" s="3"/>
      <c r="D251" s="3"/>
      <c r="E251" s="3"/>
      <c r="J251" s="12"/>
      <c r="K251" s="12"/>
      <c r="L251" s="12"/>
      <c r="M251" s="12"/>
      <c r="N251" s="12"/>
      <c r="O251" s="12"/>
    </row>
    <row r="252" spans="1:15" s="2" customFormat="1">
      <c r="A252" s="4"/>
      <c r="B252" s="3"/>
      <c r="C252" s="3"/>
      <c r="D252" s="3"/>
      <c r="E252" s="3"/>
      <c r="J252" s="12"/>
      <c r="K252" s="12"/>
      <c r="L252" s="12"/>
      <c r="M252" s="12"/>
      <c r="N252" s="12"/>
      <c r="O252" s="12"/>
    </row>
    <row r="253" spans="1:15" s="2" customFormat="1">
      <c r="A253" s="4"/>
      <c r="B253" s="3"/>
      <c r="C253" s="3"/>
      <c r="D253" s="3"/>
      <c r="E253" s="3"/>
      <c r="J253" s="12"/>
      <c r="K253" s="12"/>
      <c r="L253" s="12"/>
      <c r="M253" s="12"/>
      <c r="N253" s="12"/>
      <c r="O253" s="12"/>
    </row>
    <row r="254" spans="1:15" s="2" customFormat="1">
      <c r="A254" s="4"/>
      <c r="B254" s="3"/>
      <c r="C254" s="3"/>
      <c r="D254" s="3"/>
      <c r="E254" s="3"/>
      <c r="J254" s="12"/>
      <c r="K254" s="12"/>
      <c r="L254" s="12"/>
      <c r="M254" s="12"/>
      <c r="N254" s="12"/>
      <c r="O254" s="12"/>
    </row>
    <row r="255" spans="1:15" s="2" customFormat="1">
      <c r="A255" s="4"/>
      <c r="B255" s="3"/>
      <c r="C255" s="3"/>
      <c r="D255" s="3"/>
      <c r="E255" s="3"/>
      <c r="J255" s="12"/>
      <c r="K255" s="12"/>
      <c r="L255" s="12"/>
      <c r="M255" s="12"/>
      <c r="N255" s="12"/>
      <c r="O255" s="12"/>
    </row>
    <row r="256" spans="1:15" s="2" customFormat="1">
      <c r="A256" s="4"/>
      <c r="B256" s="3"/>
      <c r="C256" s="3"/>
      <c r="D256" s="3"/>
      <c r="E256" s="3"/>
      <c r="J256" s="12"/>
      <c r="K256" s="12"/>
      <c r="L256" s="12"/>
      <c r="M256" s="12"/>
      <c r="N256" s="12"/>
      <c r="O256" s="12"/>
    </row>
    <row r="257" spans="1:15" s="2" customFormat="1">
      <c r="A257" s="4"/>
      <c r="B257" s="3"/>
      <c r="C257" s="3"/>
      <c r="D257" s="3"/>
      <c r="E257" s="3"/>
      <c r="J257" s="12"/>
      <c r="K257" s="12"/>
      <c r="L257" s="12"/>
      <c r="M257" s="12"/>
      <c r="N257" s="12"/>
      <c r="O257" s="12"/>
    </row>
    <row r="258" spans="1:15" s="2" customFormat="1">
      <c r="A258" s="4"/>
      <c r="B258" s="3"/>
      <c r="C258" s="3"/>
      <c r="D258" s="3"/>
      <c r="E258" s="3"/>
      <c r="J258" s="12"/>
      <c r="K258" s="12"/>
      <c r="L258" s="12"/>
      <c r="M258" s="12"/>
      <c r="N258" s="12"/>
      <c r="O258" s="12"/>
    </row>
    <row r="259" spans="1:15" s="2" customFormat="1">
      <c r="A259" s="4"/>
      <c r="B259" s="3"/>
      <c r="C259" s="3"/>
      <c r="D259" s="3"/>
      <c r="E259" s="3"/>
      <c r="J259" s="12"/>
      <c r="K259" s="12"/>
      <c r="L259" s="12"/>
      <c r="M259" s="12"/>
      <c r="N259" s="12"/>
      <c r="O259" s="12"/>
    </row>
    <row r="260" spans="1:15" s="2" customFormat="1">
      <c r="A260" s="4"/>
      <c r="B260" s="3"/>
      <c r="C260" s="3"/>
      <c r="D260" s="3"/>
      <c r="E260" s="3"/>
      <c r="J260" s="12"/>
      <c r="K260" s="12"/>
      <c r="L260" s="12"/>
      <c r="M260" s="12"/>
      <c r="N260" s="12"/>
      <c r="O260" s="12"/>
    </row>
    <row r="261" spans="1:15" s="2" customFormat="1">
      <c r="A261" s="4"/>
      <c r="B261" s="3"/>
      <c r="C261" s="3"/>
      <c r="D261" s="3"/>
      <c r="E261" s="3"/>
      <c r="J261" s="12"/>
      <c r="K261" s="12"/>
      <c r="L261" s="12"/>
      <c r="M261" s="12"/>
      <c r="N261" s="12"/>
      <c r="O261" s="12"/>
    </row>
    <row r="262" spans="1:15" s="2" customFormat="1">
      <c r="A262" s="4"/>
      <c r="B262" s="3"/>
      <c r="C262" s="3"/>
      <c r="D262" s="3"/>
      <c r="E262" s="3"/>
      <c r="J262" s="12"/>
      <c r="K262" s="12"/>
      <c r="L262" s="12"/>
      <c r="M262" s="12"/>
      <c r="N262" s="12"/>
      <c r="O262" s="12"/>
    </row>
    <row r="263" spans="1:15" s="2" customFormat="1">
      <c r="A263" s="4"/>
      <c r="B263" s="3"/>
      <c r="C263" s="3"/>
      <c r="D263" s="3"/>
      <c r="E263" s="3"/>
      <c r="J263" s="12"/>
      <c r="K263" s="12"/>
      <c r="L263" s="12"/>
      <c r="M263" s="12"/>
      <c r="N263" s="12"/>
      <c r="O263" s="12"/>
    </row>
    <row r="264" spans="1:15" s="2" customFormat="1">
      <c r="A264" s="4"/>
      <c r="B264" s="3"/>
      <c r="C264" s="3"/>
      <c r="D264" s="3"/>
      <c r="E264" s="3"/>
      <c r="J264" s="12"/>
      <c r="K264" s="12"/>
      <c r="L264" s="12"/>
      <c r="M264" s="12"/>
      <c r="N264" s="12"/>
      <c r="O264" s="12"/>
    </row>
    <row r="265" spans="1:15" s="2" customFormat="1">
      <c r="A265" s="4"/>
      <c r="B265" s="3"/>
      <c r="C265" s="3"/>
      <c r="D265" s="3"/>
      <c r="E265" s="3"/>
      <c r="J265" s="12"/>
      <c r="K265" s="12"/>
      <c r="L265" s="12"/>
      <c r="M265" s="12"/>
      <c r="N265" s="12"/>
      <c r="O265" s="12"/>
    </row>
    <row r="266" spans="1:15" s="2" customFormat="1">
      <c r="A266" s="4"/>
      <c r="B266" s="3"/>
      <c r="C266" s="3"/>
      <c r="D266" s="3"/>
      <c r="E266" s="3"/>
      <c r="J266" s="12"/>
      <c r="K266" s="12"/>
      <c r="L266" s="12"/>
      <c r="M266" s="12"/>
      <c r="N266" s="12"/>
      <c r="O266" s="12"/>
    </row>
    <row r="267" spans="1:15" s="2" customFormat="1">
      <c r="A267" s="4"/>
      <c r="B267" s="3"/>
      <c r="C267" s="3"/>
      <c r="D267" s="3"/>
      <c r="E267" s="3"/>
      <c r="J267" s="12"/>
      <c r="K267" s="12"/>
      <c r="L267" s="12"/>
      <c r="M267" s="12"/>
      <c r="N267" s="12"/>
      <c r="O267" s="12"/>
    </row>
  </sheetData>
  <mergeCells count="11">
    <mergeCell ref="I35:I37"/>
    <mergeCell ref="I4:I6"/>
    <mergeCell ref="G4:G6"/>
    <mergeCell ref="H4:H6"/>
    <mergeCell ref="F4:F6"/>
    <mergeCell ref="B49:E49"/>
    <mergeCell ref="B52:E52"/>
    <mergeCell ref="G35:G37"/>
    <mergeCell ref="H35:H37"/>
    <mergeCell ref="F35:F37"/>
    <mergeCell ref="B44:D45"/>
  </mergeCells>
  <printOptions horizontalCentered="1"/>
  <pageMargins left="0.78740157480314965" right="0.78740157480314965" top="0.78740157480314965" bottom="0.78740157480314965" header="0.39370078740157483" footer="0.39370078740157483"/>
  <pageSetup paperSize="9" scale="90" firstPageNumber="62" orientation="portrait" useFirstPageNumber="1" r:id="rId1"/>
  <headerFooter>
    <oddHeader>&amp;C&amp;"+,Tučné"II. Rozpis rozpočtu</oddHeader>
    <oddFooter>&amp;C&amp;"-,Obyčejné" &amp;P</oddFooter>
  </headerFooter>
  <ignoredErrors>
    <ignoredError sqref="B47:H48 B50:H51 B49:E49 C17:D28 C7:D15" numberStoredAsText="1"/>
    <ignoredError sqref="F49:H49" numberStoredAsText="1" formulaRange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</sheetPr>
  <dimension ref="A2:Y317"/>
  <sheetViews>
    <sheetView zoomScaleNormal="100" workbookViewId="0">
      <selection activeCell="J32" sqref="J32"/>
    </sheetView>
  </sheetViews>
  <sheetFormatPr defaultRowHeight="15.75" customHeight="1"/>
  <cols>
    <col min="1" max="1" width="7.85546875" style="635" customWidth="1"/>
    <col min="2" max="4" width="5.140625" style="677" customWidth="1"/>
    <col min="5" max="5" width="37.7109375" style="771" customWidth="1"/>
    <col min="6" max="6" width="9.85546875" style="174" customWidth="1"/>
    <col min="7" max="7" width="9.85546875" style="174" hidden="1" customWidth="1"/>
    <col min="8" max="9" width="9.85546875" style="174" customWidth="1"/>
    <col min="10" max="10" width="14" style="969" bestFit="1" customWidth="1"/>
    <col min="11" max="234" width="9.140625" style="637"/>
    <col min="235" max="237" width="5.140625" style="637" customWidth="1"/>
    <col min="238" max="238" width="57.85546875" style="637" customWidth="1"/>
    <col min="239" max="16384" width="9.140625" style="637"/>
  </cols>
  <sheetData>
    <row r="2" spans="1:10" s="607" customFormat="1" ht="15.75" customHeight="1">
      <c r="A2" s="604"/>
      <c r="B2" s="605"/>
      <c r="C2" s="605"/>
      <c r="D2" s="605"/>
      <c r="E2" s="741"/>
      <c r="F2" s="606"/>
      <c r="G2" s="606"/>
      <c r="H2" s="606"/>
      <c r="I2" s="606"/>
      <c r="J2" s="968"/>
    </row>
    <row r="3" spans="1:10" s="607" customFormat="1" ht="15.75" customHeight="1" thickBot="1">
      <c r="A3" s="604"/>
      <c r="B3" s="605"/>
      <c r="C3" s="605"/>
      <c r="D3" s="605"/>
      <c r="E3" s="741"/>
      <c r="F3" s="606"/>
      <c r="G3" s="606"/>
      <c r="H3" s="606"/>
      <c r="I3" s="606"/>
      <c r="J3" s="968"/>
    </row>
    <row r="4" spans="1:10" s="607" customFormat="1" ht="15.75" customHeight="1" thickTop="1">
      <c r="A4" s="608"/>
      <c r="B4" s="41"/>
      <c r="C4" s="40"/>
      <c r="D4" s="39"/>
      <c r="E4" s="742"/>
      <c r="F4" s="1962" t="s">
        <v>44</v>
      </c>
      <c r="G4" s="1962" t="s">
        <v>43</v>
      </c>
      <c r="H4" s="1962" t="s">
        <v>1487</v>
      </c>
      <c r="I4" s="1971" t="s">
        <v>1488</v>
      </c>
      <c r="J4" s="968"/>
    </row>
    <row r="5" spans="1:10" s="607" customFormat="1" ht="15.75" customHeight="1">
      <c r="A5" s="609" t="s">
        <v>120</v>
      </c>
      <c r="B5" s="36" t="s">
        <v>877</v>
      </c>
      <c r="C5" s="35" t="s">
        <v>878</v>
      </c>
      <c r="D5" s="34" t="s">
        <v>879</v>
      </c>
      <c r="E5" s="743"/>
      <c r="F5" s="1963"/>
      <c r="G5" s="1963"/>
      <c r="H5" s="1963"/>
      <c r="I5" s="1972"/>
      <c r="J5" s="968"/>
    </row>
    <row r="6" spans="1:10" s="607" customFormat="1" ht="15.75" customHeight="1" thickBot="1">
      <c r="A6" s="609"/>
      <c r="B6" s="31"/>
      <c r="C6" s="30"/>
      <c r="D6" s="29"/>
      <c r="E6" s="744" t="s">
        <v>38</v>
      </c>
      <c r="F6" s="1964"/>
      <c r="G6" s="1964"/>
      <c r="H6" s="1964"/>
      <c r="I6" s="1973"/>
      <c r="J6" s="968"/>
    </row>
    <row r="7" spans="1:10" s="607" customFormat="1" ht="15.75" customHeight="1" thickTop="1" thickBot="1">
      <c r="A7" s="610"/>
      <c r="B7" s="612" t="s">
        <v>881</v>
      </c>
      <c r="C7" s="613" t="s">
        <v>51</v>
      </c>
      <c r="D7" s="613" t="s">
        <v>880</v>
      </c>
      <c r="E7" s="745" t="s">
        <v>50</v>
      </c>
      <c r="F7" s="450">
        <v>55</v>
      </c>
      <c r="G7" s="450">
        <f>55-11.1</f>
        <v>43.9</v>
      </c>
      <c r="H7" s="450">
        <v>40</v>
      </c>
      <c r="I7" s="1411">
        <v>40</v>
      </c>
      <c r="J7" s="968"/>
    </row>
    <row r="8" spans="1:10" s="607" customFormat="1" ht="15.75" customHeight="1" thickBot="1">
      <c r="A8" s="610"/>
      <c r="B8" s="80" t="s">
        <v>881</v>
      </c>
      <c r="C8" s="61" t="s">
        <v>364</v>
      </c>
      <c r="D8" s="60" t="s">
        <v>880</v>
      </c>
      <c r="E8" s="746" t="s">
        <v>611</v>
      </c>
      <c r="F8" s="443">
        <v>33</v>
      </c>
      <c r="G8" s="443">
        <f>33-7.344</f>
        <v>25.655999999999999</v>
      </c>
      <c r="H8" s="443">
        <v>30</v>
      </c>
      <c r="I8" s="1340">
        <v>30</v>
      </c>
      <c r="J8" s="968"/>
    </row>
    <row r="9" spans="1:10" s="607" customFormat="1" ht="15.75" customHeight="1" thickBot="1">
      <c r="A9" s="610"/>
      <c r="B9" s="80" t="s">
        <v>881</v>
      </c>
      <c r="C9" s="61" t="s">
        <v>612</v>
      </c>
      <c r="D9" s="60" t="s">
        <v>880</v>
      </c>
      <c r="E9" s="746" t="s">
        <v>613</v>
      </c>
      <c r="F9" s="443">
        <v>320</v>
      </c>
      <c r="G9" s="443">
        <f>320+14.281</f>
        <v>334.28100000000001</v>
      </c>
      <c r="H9" s="443">
        <v>340</v>
      </c>
      <c r="I9" s="1340">
        <v>340</v>
      </c>
      <c r="J9" s="968"/>
    </row>
    <row r="10" spans="1:10" s="607" customFormat="1" ht="15.75" customHeight="1" thickBot="1">
      <c r="A10" s="610"/>
      <c r="B10" s="614" t="s">
        <v>881</v>
      </c>
      <c r="C10" s="475" t="s">
        <v>365</v>
      </c>
      <c r="D10" s="475" t="s">
        <v>880</v>
      </c>
      <c r="E10" s="747" t="s">
        <v>882</v>
      </c>
      <c r="F10" s="615">
        <v>140</v>
      </c>
      <c r="G10" s="615">
        <f>140+4.163</f>
        <v>144.16300000000001</v>
      </c>
      <c r="H10" s="615">
        <v>150</v>
      </c>
      <c r="I10" s="1412">
        <v>150</v>
      </c>
      <c r="J10" s="968"/>
    </row>
    <row r="11" spans="1:10" s="607" customFormat="1" ht="15.75" customHeight="1" thickBot="1">
      <c r="A11" s="610"/>
      <c r="B11" s="80" t="s">
        <v>881</v>
      </c>
      <c r="C11" s="61" t="s">
        <v>366</v>
      </c>
      <c r="D11" s="60" t="s">
        <v>880</v>
      </c>
      <c r="E11" s="746" t="s">
        <v>883</v>
      </c>
      <c r="F11" s="443">
        <v>36</v>
      </c>
      <c r="G11" s="443">
        <v>36</v>
      </c>
      <c r="H11" s="443">
        <v>40</v>
      </c>
      <c r="I11" s="1340">
        <v>40</v>
      </c>
      <c r="J11" s="968"/>
    </row>
    <row r="12" spans="1:10" s="607" customFormat="1" ht="15.75" customHeight="1" thickBot="1">
      <c r="A12" s="610"/>
      <c r="B12" s="80" t="s">
        <v>881</v>
      </c>
      <c r="C12" s="61" t="s">
        <v>56</v>
      </c>
      <c r="D12" s="60" t="s">
        <v>880</v>
      </c>
      <c r="E12" s="746" t="s">
        <v>884</v>
      </c>
      <c r="F12" s="443">
        <v>520</v>
      </c>
      <c r="G12" s="443">
        <v>520</v>
      </c>
      <c r="H12" s="443">
        <v>420</v>
      </c>
      <c r="I12" s="1340">
        <v>420</v>
      </c>
      <c r="J12" s="968"/>
    </row>
    <row r="13" spans="1:10" s="607" customFormat="1" ht="15.75" customHeight="1" thickBot="1">
      <c r="A13" s="610"/>
      <c r="B13" s="614" t="s">
        <v>881</v>
      </c>
      <c r="C13" s="475" t="s">
        <v>54</v>
      </c>
      <c r="D13" s="475" t="s">
        <v>880</v>
      </c>
      <c r="E13" s="747" t="s">
        <v>563</v>
      </c>
      <c r="F13" s="615">
        <v>90</v>
      </c>
      <c r="G13" s="615">
        <v>90</v>
      </c>
      <c r="H13" s="615">
        <v>60</v>
      </c>
      <c r="I13" s="1412">
        <v>60</v>
      </c>
      <c r="J13" s="968"/>
    </row>
    <row r="14" spans="1:10" s="607" customFormat="1" ht="15.75" customHeight="1" thickBot="1">
      <c r="A14" s="610"/>
      <c r="B14" s="616">
        <v>3311</v>
      </c>
      <c r="C14" s="617">
        <v>5192</v>
      </c>
      <c r="D14" s="618" t="s">
        <v>880</v>
      </c>
      <c r="E14" s="748" t="s">
        <v>885</v>
      </c>
      <c r="F14" s="619">
        <v>10</v>
      </c>
      <c r="G14" s="619">
        <v>10</v>
      </c>
      <c r="H14" s="619">
        <v>4</v>
      </c>
      <c r="I14" s="1443">
        <v>4</v>
      </c>
      <c r="J14" s="968"/>
    </row>
    <row r="15" spans="1:10" s="607" customFormat="1" ht="15.75" customHeight="1" thickTop="1" thickBot="1">
      <c r="A15" s="610">
        <v>501</v>
      </c>
      <c r="B15" s="2010" t="s">
        <v>886</v>
      </c>
      <c r="C15" s="2011"/>
      <c r="D15" s="2011"/>
      <c r="E15" s="2012"/>
      <c r="F15" s="621">
        <f>SUM(F7:F14)</f>
        <v>1204</v>
      </c>
      <c r="G15" s="621">
        <f>SUM(G7:G14)</f>
        <v>1204</v>
      </c>
      <c r="H15" s="621">
        <f>SUM(H7:H14)</f>
        <v>1084</v>
      </c>
      <c r="I15" s="1444">
        <f>SUM(I7:I14)</f>
        <v>1084</v>
      </c>
      <c r="J15" s="968"/>
    </row>
    <row r="16" spans="1:10" s="607" customFormat="1" ht="15.75" customHeight="1" thickTop="1" thickBot="1">
      <c r="A16" s="610"/>
      <c r="B16" s="80" t="s">
        <v>887</v>
      </c>
      <c r="C16" s="61">
        <v>5331</v>
      </c>
      <c r="D16" s="60" t="s">
        <v>888</v>
      </c>
      <c r="E16" s="746" t="s">
        <v>889</v>
      </c>
      <c r="F16" s="622">
        <v>25200</v>
      </c>
      <c r="G16" s="622">
        <v>25200</v>
      </c>
      <c r="H16" s="622">
        <v>23800</v>
      </c>
      <c r="I16" s="1445">
        <v>23800</v>
      </c>
      <c r="J16" s="968"/>
    </row>
    <row r="17" spans="1:10" s="607" customFormat="1" ht="15.75" hidden="1" customHeight="1" thickBot="1">
      <c r="A17" s="610"/>
      <c r="B17" s="80" t="s">
        <v>887</v>
      </c>
      <c r="C17" s="61">
        <v>5331</v>
      </c>
      <c r="D17" s="60" t="s">
        <v>888</v>
      </c>
      <c r="E17" s="746" t="s">
        <v>890</v>
      </c>
      <c r="F17" s="622">
        <v>0</v>
      </c>
      <c r="G17" s="622">
        <f>500+30</f>
        <v>530</v>
      </c>
      <c r="H17" s="622">
        <v>0</v>
      </c>
      <c r="I17" s="1445">
        <v>0</v>
      </c>
      <c r="J17" s="968"/>
    </row>
    <row r="18" spans="1:10" s="607" customFormat="1" ht="15.75" hidden="1" customHeight="1" thickBot="1">
      <c r="A18" s="610"/>
      <c r="B18" s="623">
        <v>3312</v>
      </c>
      <c r="C18" s="624" t="s">
        <v>891</v>
      </c>
      <c r="D18" s="625">
        <v>1069</v>
      </c>
      <c r="E18" s="746" t="s">
        <v>892</v>
      </c>
      <c r="F18" s="626">
        <v>0</v>
      </c>
      <c r="G18" s="626">
        <v>540</v>
      </c>
      <c r="H18" s="626">
        <v>0</v>
      </c>
      <c r="I18" s="1446">
        <v>0</v>
      </c>
      <c r="J18" s="968"/>
    </row>
    <row r="19" spans="1:10" s="607" customFormat="1" ht="15.75" customHeight="1" thickTop="1" thickBot="1">
      <c r="A19" s="610">
        <v>502</v>
      </c>
      <c r="B19" s="2010" t="s">
        <v>893</v>
      </c>
      <c r="C19" s="2011"/>
      <c r="D19" s="2011"/>
      <c r="E19" s="2012"/>
      <c r="F19" s="621">
        <f>SUM(F16:F18)</f>
        <v>25200</v>
      </c>
      <c r="G19" s="621">
        <f>SUM(G16:G18)</f>
        <v>26270</v>
      </c>
      <c r="H19" s="621">
        <f>SUM(H16:H18)</f>
        <v>23800</v>
      </c>
      <c r="I19" s="1444">
        <f>SUM(I16:I18)</f>
        <v>23800</v>
      </c>
      <c r="J19" s="968"/>
    </row>
    <row r="20" spans="1:10" s="607" customFormat="1" ht="15.75" hidden="1" customHeight="1" thickTop="1" thickBot="1">
      <c r="A20" s="610"/>
      <c r="B20" s="80">
        <v>3429</v>
      </c>
      <c r="C20" s="61" t="s">
        <v>478</v>
      </c>
      <c r="D20" s="60" t="s">
        <v>894</v>
      </c>
      <c r="E20" s="746" t="s">
        <v>895</v>
      </c>
      <c r="F20" s="622">
        <v>0</v>
      </c>
      <c r="G20" s="622">
        <v>30</v>
      </c>
      <c r="H20" s="622">
        <v>0</v>
      </c>
      <c r="I20" s="1445">
        <v>0</v>
      </c>
      <c r="J20" s="968"/>
    </row>
    <row r="21" spans="1:10" s="607" customFormat="1" ht="15.75" customHeight="1" thickTop="1" thickBot="1">
      <c r="A21" s="610"/>
      <c r="B21" s="80">
        <v>3429</v>
      </c>
      <c r="C21" s="61" t="s">
        <v>157</v>
      </c>
      <c r="D21" s="60" t="s">
        <v>894</v>
      </c>
      <c r="E21" s="746" t="s">
        <v>896</v>
      </c>
      <c r="F21" s="622">
        <v>40</v>
      </c>
      <c r="G21" s="622">
        <f>40-30</f>
        <v>10</v>
      </c>
      <c r="H21" s="622">
        <v>40</v>
      </c>
      <c r="I21" s="1445">
        <v>40</v>
      </c>
      <c r="J21" s="968"/>
    </row>
    <row r="22" spans="1:10" s="607" customFormat="1" ht="15.75" customHeight="1" thickTop="1" thickBot="1">
      <c r="A22" s="610">
        <v>503</v>
      </c>
      <c r="B22" s="2010" t="s">
        <v>897</v>
      </c>
      <c r="C22" s="2011"/>
      <c r="D22" s="2011"/>
      <c r="E22" s="2012"/>
      <c r="F22" s="620">
        <f>SUM(F20:F21)</f>
        <v>40</v>
      </c>
      <c r="G22" s="620">
        <f>SUM(G20:G21)</f>
        <v>40</v>
      </c>
      <c r="H22" s="620">
        <f>SUM(H20:H21)</f>
        <v>40</v>
      </c>
      <c r="I22" s="1444">
        <f>SUM(I20:I21)</f>
        <v>40</v>
      </c>
      <c r="J22" s="968"/>
    </row>
    <row r="23" spans="1:10" s="607" customFormat="1" ht="15.75" hidden="1" customHeight="1" thickTop="1" thickBot="1">
      <c r="A23" s="610"/>
      <c r="B23" s="221">
        <v>3319</v>
      </c>
      <c r="C23" s="222" t="s">
        <v>785</v>
      </c>
      <c r="D23" s="222" t="s">
        <v>898</v>
      </c>
      <c r="E23" s="749" t="s">
        <v>899</v>
      </c>
      <c r="F23" s="443">
        <v>0</v>
      </c>
      <c r="G23" s="443">
        <v>100</v>
      </c>
      <c r="H23" s="443">
        <v>0</v>
      </c>
      <c r="I23" s="1340">
        <v>0</v>
      </c>
      <c r="J23" s="968"/>
    </row>
    <row r="24" spans="1:10" s="607" customFormat="1" ht="15.75" hidden="1" customHeight="1" thickBot="1">
      <c r="A24" s="610"/>
      <c r="B24" s="80">
        <v>3319</v>
      </c>
      <c r="C24" s="61" t="s">
        <v>152</v>
      </c>
      <c r="D24" s="60" t="s">
        <v>898</v>
      </c>
      <c r="E24" s="746" t="s">
        <v>900</v>
      </c>
      <c r="F24" s="443">
        <v>0</v>
      </c>
      <c r="G24" s="443">
        <v>140</v>
      </c>
      <c r="H24" s="443">
        <v>0</v>
      </c>
      <c r="I24" s="1340">
        <v>0</v>
      </c>
      <c r="J24" s="968"/>
    </row>
    <row r="25" spans="1:10" s="607" customFormat="1" ht="15.75" hidden="1" customHeight="1" thickBot="1">
      <c r="A25" s="610"/>
      <c r="B25" s="80">
        <v>3319</v>
      </c>
      <c r="C25" s="61" t="s">
        <v>474</v>
      </c>
      <c r="D25" s="60">
        <v>2873</v>
      </c>
      <c r="E25" s="746" t="s">
        <v>901</v>
      </c>
      <c r="F25" s="443">
        <v>0</v>
      </c>
      <c r="G25" s="443">
        <v>40</v>
      </c>
      <c r="H25" s="443">
        <v>0</v>
      </c>
      <c r="I25" s="1340">
        <v>0</v>
      </c>
      <c r="J25" s="968"/>
    </row>
    <row r="26" spans="1:10" s="607" customFormat="1" ht="15.75" hidden="1" customHeight="1" thickBot="1">
      <c r="A26" s="610"/>
      <c r="B26" s="80">
        <v>3319</v>
      </c>
      <c r="C26" s="61" t="s">
        <v>474</v>
      </c>
      <c r="D26" s="60">
        <v>2621</v>
      </c>
      <c r="E26" s="746" t="s">
        <v>902</v>
      </c>
      <c r="F26" s="443">
        <v>0</v>
      </c>
      <c r="G26" s="443">
        <v>40</v>
      </c>
      <c r="H26" s="443">
        <v>0</v>
      </c>
      <c r="I26" s="1340">
        <v>0</v>
      </c>
      <c r="J26" s="968"/>
    </row>
    <row r="27" spans="1:10" s="607" customFormat="1" ht="15.75" hidden="1" customHeight="1" thickBot="1">
      <c r="A27" s="610"/>
      <c r="B27" s="80">
        <v>3319</v>
      </c>
      <c r="C27" s="61" t="s">
        <v>474</v>
      </c>
      <c r="D27" s="60">
        <v>2617</v>
      </c>
      <c r="E27" s="746" t="s">
        <v>903</v>
      </c>
      <c r="F27" s="443">
        <v>0</v>
      </c>
      <c r="G27" s="443">
        <v>135</v>
      </c>
      <c r="H27" s="443">
        <v>0</v>
      </c>
      <c r="I27" s="1340">
        <v>0</v>
      </c>
      <c r="J27" s="968"/>
    </row>
    <row r="28" spans="1:10" s="607" customFormat="1" ht="15.75" hidden="1" customHeight="1" thickBot="1">
      <c r="A28" s="610"/>
      <c r="B28" s="80">
        <v>3319</v>
      </c>
      <c r="C28" s="61" t="s">
        <v>478</v>
      </c>
      <c r="D28" s="60" t="s">
        <v>898</v>
      </c>
      <c r="E28" s="746" t="s">
        <v>895</v>
      </c>
      <c r="F28" s="443">
        <v>0</v>
      </c>
      <c r="G28" s="443">
        <v>1011</v>
      </c>
      <c r="H28" s="443">
        <v>0</v>
      </c>
      <c r="I28" s="1340">
        <v>0</v>
      </c>
      <c r="J28" s="968"/>
    </row>
    <row r="29" spans="1:10" s="607" customFormat="1" ht="15.75" hidden="1" customHeight="1" thickBot="1">
      <c r="A29" s="610"/>
      <c r="B29" s="614">
        <v>3319</v>
      </c>
      <c r="C29" s="475" t="s">
        <v>398</v>
      </c>
      <c r="D29" s="475" t="s">
        <v>904</v>
      </c>
      <c r="E29" s="747" t="s">
        <v>905</v>
      </c>
      <c r="F29" s="443">
        <v>0</v>
      </c>
      <c r="G29" s="443">
        <v>147</v>
      </c>
      <c r="H29" s="443">
        <v>0</v>
      </c>
      <c r="I29" s="1340">
        <v>0</v>
      </c>
      <c r="J29" s="968"/>
    </row>
    <row r="30" spans="1:10" s="607" customFormat="1" ht="15.75" hidden="1" customHeight="1" thickBot="1">
      <c r="A30" s="610"/>
      <c r="B30" s="614">
        <v>3320</v>
      </c>
      <c r="C30" s="475" t="s">
        <v>398</v>
      </c>
      <c r="D30" s="475" t="s">
        <v>906</v>
      </c>
      <c r="E30" s="747" t="s">
        <v>907</v>
      </c>
      <c r="F30" s="443">
        <v>0</v>
      </c>
      <c r="G30" s="443">
        <v>5</v>
      </c>
      <c r="H30" s="443">
        <v>0</v>
      </c>
      <c r="I30" s="1340">
        <v>0</v>
      </c>
      <c r="J30" s="968"/>
    </row>
    <row r="31" spans="1:10" s="607" customFormat="1" ht="15.75" hidden="1" customHeight="1" thickBot="1">
      <c r="A31" s="610"/>
      <c r="B31" s="627">
        <v>3319</v>
      </c>
      <c r="C31" s="628" t="s">
        <v>486</v>
      </c>
      <c r="D31" s="628" t="s">
        <v>898</v>
      </c>
      <c r="E31" s="750" t="s">
        <v>908</v>
      </c>
      <c r="F31" s="443">
        <v>0</v>
      </c>
      <c r="G31" s="443">
        <f>90+80</f>
        <v>170</v>
      </c>
      <c r="H31" s="443">
        <v>0</v>
      </c>
      <c r="I31" s="1340">
        <v>0</v>
      </c>
      <c r="J31" s="968"/>
    </row>
    <row r="32" spans="1:10" s="607" customFormat="1" ht="15.75" customHeight="1" thickTop="1" thickBot="1">
      <c r="A32" s="610"/>
      <c r="B32" s="629">
        <v>3319</v>
      </c>
      <c r="C32" s="630" t="s">
        <v>157</v>
      </c>
      <c r="D32" s="630" t="s">
        <v>898</v>
      </c>
      <c r="E32" s="751" t="s">
        <v>909</v>
      </c>
      <c r="F32" s="631">
        <v>1200</v>
      </c>
      <c r="G32" s="631">
        <f>1200+1302.5+950-873-1065-5-544.5</f>
        <v>965</v>
      </c>
      <c r="H32" s="631">
        <v>1000</v>
      </c>
      <c r="I32" s="1447">
        <f>1000+999.5</f>
        <v>1999.5</v>
      </c>
      <c r="J32" s="1722"/>
    </row>
    <row r="33" spans="1:10" s="607" customFormat="1" ht="15.75" customHeight="1" thickTop="1" thickBot="1">
      <c r="A33" s="610">
        <v>504</v>
      </c>
      <c r="B33" s="2010" t="s">
        <v>910</v>
      </c>
      <c r="C33" s="2011"/>
      <c r="D33" s="2011"/>
      <c r="E33" s="2012"/>
      <c r="F33" s="620">
        <f>SUM(F23:F32)</f>
        <v>1200</v>
      </c>
      <c r="G33" s="620">
        <f>SUM(G23:G32)</f>
        <v>2753</v>
      </c>
      <c r="H33" s="620">
        <f>SUM(H23:H32)</f>
        <v>1000</v>
      </c>
      <c r="I33" s="1444">
        <f>SUM(I23:I32)</f>
        <v>1999.5</v>
      </c>
      <c r="J33" s="968"/>
    </row>
    <row r="34" spans="1:10" s="607" customFormat="1" ht="15.75" customHeight="1" thickTop="1" thickBot="1">
      <c r="A34" s="610">
        <v>505</v>
      </c>
      <c r="B34" s="26">
        <v>3315</v>
      </c>
      <c r="C34" s="25">
        <v>5213</v>
      </c>
      <c r="D34" s="25" t="s">
        <v>911</v>
      </c>
      <c r="E34" s="752" t="s">
        <v>912</v>
      </c>
      <c r="F34" s="6">
        <v>100</v>
      </c>
      <c r="G34" s="6">
        <f>100+60</f>
        <v>160</v>
      </c>
      <c r="H34" s="6">
        <v>150</v>
      </c>
      <c r="I34" s="45">
        <v>150</v>
      </c>
      <c r="J34" s="968"/>
    </row>
    <row r="35" spans="1:10" s="607" customFormat="1" ht="15.75" customHeight="1" thickTop="1" thickBot="1">
      <c r="A35" s="610"/>
      <c r="B35" s="26" t="s">
        <v>705</v>
      </c>
      <c r="C35" s="25" t="s">
        <v>152</v>
      </c>
      <c r="D35" s="25" t="s">
        <v>1106</v>
      </c>
      <c r="E35" s="752" t="s">
        <v>1107</v>
      </c>
      <c r="F35" s="6">
        <v>0</v>
      </c>
      <c r="G35" s="6">
        <v>0</v>
      </c>
      <c r="H35" s="6">
        <v>0</v>
      </c>
      <c r="I35" s="45">
        <v>0</v>
      </c>
      <c r="J35" s="968"/>
    </row>
    <row r="36" spans="1:10" s="607" customFormat="1" ht="15.75" customHeight="1" thickTop="1" thickBot="1">
      <c r="A36" s="610">
        <v>506</v>
      </c>
      <c r="B36" s="26" t="s">
        <v>705</v>
      </c>
      <c r="C36" s="25">
        <v>5221</v>
      </c>
      <c r="D36" s="25" t="s">
        <v>913</v>
      </c>
      <c r="E36" s="752" t="s">
        <v>914</v>
      </c>
      <c r="F36" s="6">
        <v>1500</v>
      </c>
      <c r="G36" s="6">
        <v>1500</v>
      </c>
      <c r="H36" s="6">
        <v>1300</v>
      </c>
      <c r="I36" s="45">
        <v>1300</v>
      </c>
      <c r="J36" s="968"/>
    </row>
    <row r="37" spans="1:10" s="607" customFormat="1" ht="15.75" customHeight="1" thickTop="1" thickBot="1">
      <c r="A37" s="610">
        <v>507</v>
      </c>
      <c r="B37" s="26" t="s">
        <v>881</v>
      </c>
      <c r="C37" s="25" t="s">
        <v>474</v>
      </c>
      <c r="D37" s="25" t="s">
        <v>915</v>
      </c>
      <c r="E37" s="752" t="s">
        <v>916</v>
      </c>
      <c r="F37" s="6">
        <v>15000</v>
      </c>
      <c r="G37" s="6">
        <f>15000+200+200</f>
        <v>15400</v>
      </c>
      <c r="H37" s="6">
        <v>13000</v>
      </c>
      <c r="I37" s="45">
        <v>13000</v>
      </c>
      <c r="J37" s="968"/>
    </row>
    <row r="38" spans="1:10" s="607" customFormat="1" ht="15.75" customHeight="1" thickTop="1" thickBot="1">
      <c r="A38" s="610">
        <v>508</v>
      </c>
      <c r="B38" s="26" t="s">
        <v>661</v>
      </c>
      <c r="C38" s="25" t="s">
        <v>474</v>
      </c>
      <c r="D38" s="25" t="s">
        <v>917</v>
      </c>
      <c r="E38" s="752" t="s">
        <v>918</v>
      </c>
      <c r="F38" s="632">
        <v>300</v>
      </c>
      <c r="G38" s="632">
        <v>300</v>
      </c>
      <c r="H38" s="632">
        <v>0</v>
      </c>
      <c r="I38" s="1448">
        <v>0</v>
      </c>
      <c r="J38" s="968"/>
    </row>
    <row r="39" spans="1:10" s="607" customFormat="1" ht="15.75" customHeight="1" thickTop="1" thickBot="1">
      <c r="A39" s="610">
        <v>509</v>
      </c>
      <c r="B39" s="26" t="s">
        <v>887</v>
      </c>
      <c r="C39" s="25">
        <v>5222</v>
      </c>
      <c r="D39" s="25" t="s">
        <v>919</v>
      </c>
      <c r="E39" s="752" t="s">
        <v>920</v>
      </c>
      <c r="F39" s="632">
        <v>250</v>
      </c>
      <c r="G39" s="632">
        <f>250+100</f>
        <v>350</v>
      </c>
      <c r="H39" s="632">
        <v>250</v>
      </c>
      <c r="I39" s="1448">
        <v>250</v>
      </c>
      <c r="J39" s="968"/>
    </row>
    <row r="40" spans="1:10" s="607" customFormat="1" ht="15.75" customHeight="1" thickTop="1" thickBot="1">
      <c r="A40" s="610">
        <v>510</v>
      </c>
      <c r="B40" s="26" t="s">
        <v>887</v>
      </c>
      <c r="C40" s="25">
        <v>5221</v>
      </c>
      <c r="D40" s="25" t="s">
        <v>921</v>
      </c>
      <c r="E40" s="752" t="s">
        <v>902</v>
      </c>
      <c r="F40" s="632">
        <v>500</v>
      </c>
      <c r="G40" s="632">
        <v>500</v>
      </c>
      <c r="H40" s="632">
        <v>350</v>
      </c>
      <c r="I40" s="1448">
        <v>350</v>
      </c>
      <c r="J40" s="968"/>
    </row>
    <row r="41" spans="1:10" s="607" customFormat="1" ht="15.75" customHeight="1" thickTop="1" thickBot="1">
      <c r="A41" s="610">
        <v>511</v>
      </c>
      <c r="B41" s="26" t="s">
        <v>887</v>
      </c>
      <c r="C41" s="25">
        <v>5222</v>
      </c>
      <c r="D41" s="25" t="s">
        <v>922</v>
      </c>
      <c r="E41" s="752" t="s">
        <v>923</v>
      </c>
      <c r="F41" s="632">
        <v>300</v>
      </c>
      <c r="G41" s="632">
        <f>300+200</f>
        <v>500</v>
      </c>
      <c r="H41" s="632">
        <v>300</v>
      </c>
      <c r="I41" s="1448">
        <v>300</v>
      </c>
      <c r="J41" s="968"/>
    </row>
    <row r="42" spans="1:10" s="607" customFormat="1" ht="15.75" customHeight="1" thickTop="1" thickBot="1">
      <c r="A42" s="610">
        <v>513</v>
      </c>
      <c r="B42" s="26" t="s">
        <v>924</v>
      </c>
      <c r="C42" s="25">
        <v>5229</v>
      </c>
      <c r="D42" s="25" t="s">
        <v>925</v>
      </c>
      <c r="E42" s="752" t="s">
        <v>926</v>
      </c>
      <c r="F42" s="632">
        <v>8000</v>
      </c>
      <c r="G42" s="632">
        <v>8000</v>
      </c>
      <c r="H42" s="632">
        <f>7000</f>
        <v>7000</v>
      </c>
      <c r="I42" s="1448">
        <f>7000</f>
        <v>7000</v>
      </c>
      <c r="J42" s="968"/>
    </row>
    <row r="43" spans="1:10" s="607" customFormat="1" ht="15.75" customHeight="1" thickTop="1" thickBot="1">
      <c r="A43" s="610">
        <v>515</v>
      </c>
      <c r="B43" s="26">
        <v>3313</v>
      </c>
      <c r="C43" s="25">
        <v>5339</v>
      </c>
      <c r="D43" s="25" t="s">
        <v>927</v>
      </c>
      <c r="E43" s="752" t="s">
        <v>928</v>
      </c>
      <c r="F43" s="632">
        <v>500</v>
      </c>
      <c r="G43" s="632">
        <v>500</v>
      </c>
      <c r="H43" s="632">
        <v>400</v>
      </c>
      <c r="I43" s="1448">
        <v>400</v>
      </c>
      <c r="J43" s="968"/>
    </row>
    <row r="44" spans="1:10" s="607" customFormat="1" ht="15.75" customHeight="1" thickTop="1" thickBot="1">
      <c r="A44" s="610">
        <v>517</v>
      </c>
      <c r="B44" s="26" t="s">
        <v>705</v>
      </c>
      <c r="C44" s="25">
        <v>5169</v>
      </c>
      <c r="D44" s="25" t="s">
        <v>929</v>
      </c>
      <c r="E44" s="752" t="s">
        <v>930</v>
      </c>
      <c r="F44" s="632">
        <v>600</v>
      </c>
      <c r="G44" s="632">
        <v>600</v>
      </c>
      <c r="H44" s="632">
        <v>0</v>
      </c>
      <c r="I44" s="1448">
        <v>0</v>
      </c>
      <c r="J44" s="968"/>
    </row>
    <row r="45" spans="1:10" s="607" customFormat="1" ht="15.75" customHeight="1" thickTop="1" thickBot="1">
      <c r="A45" s="610">
        <v>518</v>
      </c>
      <c r="B45" s="26" t="s">
        <v>705</v>
      </c>
      <c r="C45" s="25" t="s">
        <v>56</v>
      </c>
      <c r="D45" s="25" t="s">
        <v>931</v>
      </c>
      <c r="E45" s="752" t="s">
        <v>932</v>
      </c>
      <c r="F45" s="6">
        <v>400</v>
      </c>
      <c r="G45" s="6">
        <v>400</v>
      </c>
      <c r="H45" s="6">
        <v>350</v>
      </c>
      <c r="I45" s="45">
        <v>350</v>
      </c>
      <c r="J45" s="968"/>
    </row>
    <row r="46" spans="1:10" s="607" customFormat="1" ht="15.75" customHeight="1" thickTop="1" thickBot="1">
      <c r="A46" s="610">
        <v>519</v>
      </c>
      <c r="B46" s="26" t="s">
        <v>260</v>
      </c>
      <c r="C46" s="25" t="s">
        <v>56</v>
      </c>
      <c r="D46" s="25" t="s">
        <v>933</v>
      </c>
      <c r="E46" s="752" t="s">
        <v>934</v>
      </c>
      <c r="F46" s="6">
        <v>360</v>
      </c>
      <c r="G46" s="6">
        <v>360</v>
      </c>
      <c r="H46" s="6">
        <v>360</v>
      </c>
      <c r="I46" s="45">
        <v>360</v>
      </c>
      <c r="J46" s="968"/>
    </row>
    <row r="47" spans="1:10" s="607" customFormat="1" ht="15.75" customHeight="1" thickTop="1" thickBot="1">
      <c r="A47" s="610"/>
      <c r="B47" s="221">
        <v>2144</v>
      </c>
      <c r="C47" s="222" t="s">
        <v>193</v>
      </c>
      <c r="D47" s="222" t="s">
        <v>935</v>
      </c>
      <c r="E47" s="749" t="s">
        <v>936</v>
      </c>
      <c r="F47" s="611">
        <v>0</v>
      </c>
      <c r="G47" s="611">
        <v>12</v>
      </c>
      <c r="H47" s="611">
        <v>10</v>
      </c>
      <c r="I47" s="1449">
        <v>10</v>
      </c>
      <c r="J47" s="968"/>
    </row>
    <row r="48" spans="1:10" s="607" customFormat="1" ht="15.75" customHeight="1" thickBot="1">
      <c r="A48" s="610"/>
      <c r="B48" s="612">
        <v>2144</v>
      </c>
      <c r="C48" s="613">
        <v>5166</v>
      </c>
      <c r="D48" s="613" t="s">
        <v>935</v>
      </c>
      <c r="E48" s="745" t="s">
        <v>937</v>
      </c>
      <c r="F48" s="450">
        <v>50</v>
      </c>
      <c r="G48" s="450">
        <f>50-20</f>
        <v>30</v>
      </c>
      <c r="H48" s="450">
        <v>50</v>
      </c>
      <c r="I48" s="1411">
        <v>50</v>
      </c>
      <c r="J48" s="968"/>
    </row>
    <row r="49" spans="1:10" s="607" customFormat="1" ht="15.75" hidden="1" customHeight="1" thickBot="1">
      <c r="A49" s="610"/>
      <c r="B49" s="80">
        <v>3319</v>
      </c>
      <c r="C49" s="613" t="s">
        <v>65</v>
      </c>
      <c r="D49" s="60" t="s">
        <v>935</v>
      </c>
      <c r="E49" s="745" t="s">
        <v>551</v>
      </c>
      <c r="F49" s="450">
        <v>0</v>
      </c>
      <c r="G49" s="450">
        <v>51.424999999999997</v>
      </c>
      <c r="H49" s="450"/>
      <c r="I49" s="1411"/>
      <c r="J49" s="968"/>
    </row>
    <row r="50" spans="1:10" s="607" customFormat="1" ht="15.75" customHeight="1" thickBot="1">
      <c r="A50" s="610"/>
      <c r="B50" s="612">
        <v>3319</v>
      </c>
      <c r="C50" s="613" t="s">
        <v>51</v>
      </c>
      <c r="D50" s="613" t="s">
        <v>935</v>
      </c>
      <c r="E50" s="745" t="s">
        <v>50</v>
      </c>
      <c r="F50" s="450">
        <v>70</v>
      </c>
      <c r="G50" s="450">
        <v>70</v>
      </c>
      <c r="H50" s="450">
        <v>80</v>
      </c>
      <c r="I50" s="1411">
        <v>80</v>
      </c>
      <c r="J50" s="968"/>
    </row>
    <row r="51" spans="1:10" s="607" customFormat="1" ht="39.75" customHeight="1" thickBot="1">
      <c r="A51" s="610"/>
      <c r="B51" s="80" t="s">
        <v>705</v>
      </c>
      <c r="C51" s="61">
        <v>5169</v>
      </c>
      <c r="D51" s="60" t="s">
        <v>935</v>
      </c>
      <c r="E51" s="773" t="s">
        <v>1108</v>
      </c>
      <c r="F51" s="443">
        <v>4100</v>
      </c>
      <c r="G51" s="443">
        <f>4100-12-51.425+72</f>
        <v>4108.5749999999998</v>
      </c>
      <c r="H51" s="443">
        <v>3000</v>
      </c>
      <c r="I51" s="1340">
        <f>3000+100</f>
        <v>3100</v>
      </c>
      <c r="J51" s="1722"/>
    </row>
    <row r="52" spans="1:10" s="607" customFormat="1" ht="15.75" customHeight="1" thickBot="1">
      <c r="A52" s="610"/>
      <c r="B52" s="80">
        <v>3313</v>
      </c>
      <c r="C52" s="61" t="s">
        <v>56</v>
      </c>
      <c r="D52" s="60">
        <v>1151</v>
      </c>
      <c r="E52" s="746" t="s">
        <v>938</v>
      </c>
      <c r="F52" s="443">
        <v>300</v>
      </c>
      <c r="G52" s="443">
        <v>300</v>
      </c>
      <c r="H52" s="443">
        <v>300</v>
      </c>
      <c r="I52" s="1340">
        <v>300</v>
      </c>
      <c r="J52" s="968"/>
    </row>
    <row r="53" spans="1:10" s="607" customFormat="1" ht="15.75" customHeight="1" thickBot="1">
      <c r="A53" s="610"/>
      <c r="B53" s="614">
        <v>2221</v>
      </c>
      <c r="C53" s="475" t="s">
        <v>56</v>
      </c>
      <c r="D53" s="475" t="s">
        <v>935</v>
      </c>
      <c r="E53" s="747" t="s">
        <v>939</v>
      </c>
      <c r="F53" s="443">
        <v>300</v>
      </c>
      <c r="G53" s="443">
        <v>300</v>
      </c>
      <c r="H53" s="443">
        <v>300</v>
      </c>
      <c r="I53" s="1340">
        <v>300</v>
      </c>
      <c r="J53" s="968"/>
    </row>
    <row r="54" spans="1:10" s="607" customFormat="1" ht="15.75" customHeight="1" thickBot="1">
      <c r="A54" s="610"/>
      <c r="B54" s="316">
        <v>3319</v>
      </c>
      <c r="C54" s="230">
        <v>5192</v>
      </c>
      <c r="D54" s="317" t="s">
        <v>935</v>
      </c>
      <c r="E54" s="753" t="s">
        <v>885</v>
      </c>
      <c r="F54" s="464">
        <v>20</v>
      </c>
      <c r="G54" s="464">
        <f>20+20</f>
        <v>40</v>
      </c>
      <c r="H54" s="464">
        <v>25</v>
      </c>
      <c r="I54" s="1346">
        <v>25</v>
      </c>
      <c r="J54" s="968"/>
    </row>
    <row r="55" spans="1:10" s="607" customFormat="1" ht="15.75" customHeight="1" thickBot="1">
      <c r="A55" s="610"/>
      <c r="B55" s="80">
        <v>3319</v>
      </c>
      <c r="C55" s="61" t="s">
        <v>511</v>
      </c>
      <c r="D55" s="60">
        <v>1151</v>
      </c>
      <c r="E55" s="746" t="s">
        <v>512</v>
      </c>
      <c r="F55" s="443">
        <v>10</v>
      </c>
      <c r="G55" s="443">
        <v>10</v>
      </c>
      <c r="H55" s="443">
        <v>10</v>
      </c>
      <c r="I55" s="1340">
        <v>10</v>
      </c>
      <c r="J55" s="968"/>
    </row>
    <row r="56" spans="1:10" s="607" customFormat="1" ht="15.75" customHeight="1" thickBot="1">
      <c r="A56" s="610"/>
      <c r="B56" s="614">
        <v>3319</v>
      </c>
      <c r="C56" s="475" t="s">
        <v>785</v>
      </c>
      <c r="D56" s="475" t="s">
        <v>940</v>
      </c>
      <c r="E56" s="747" t="s">
        <v>941</v>
      </c>
      <c r="F56" s="615">
        <v>600</v>
      </c>
      <c r="G56" s="615">
        <v>600</v>
      </c>
      <c r="H56" s="615">
        <v>300</v>
      </c>
      <c r="I56" s="1412">
        <v>300</v>
      </c>
      <c r="J56" s="968"/>
    </row>
    <row r="57" spans="1:10" s="607" customFormat="1" ht="15.75" customHeight="1" thickBot="1">
      <c r="A57" s="610"/>
      <c r="B57" s="614" t="s">
        <v>942</v>
      </c>
      <c r="C57" s="475">
        <v>5139</v>
      </c>
      <c r="D57" s="475" t="s">
        <v>326</v>
      </c>
      <c r="E57" s="747" t="s">
        <v>943</v>
      </c>
      <c r="F57" s="443">
        <v>20</v>
      </c>
      <c r="G57" s="443">
        <v>20</v>
      </c>
      <c r="H57" s="443">
        <v>20</v>
      </c>
      <c r="I57" s="1340">
        <v>20</v>
      </c>
      <c r="J57" s="968"/>
    </row>
    <row r="58" spans="1:10" s="607" customFormat="1" ht="15.75" customHeight="1" thickBot="1">
      <c r="A58" s="610"/>
      <c r="B58" s="614" t="s">
        <v>942</v>
      </c>
      <c r="C58" s="475">
        <v>5169</v>
      </c>
      <c r="D58" s="475" t="s">
        <v>326</v>
      </c>
      <c r="E58" s="747" t="s">
        <v>944</v>
      </c>
      <c r="F58" s="443">
        <v>120</v>
      </c>
      <c r="G58" s="443">
        <f>120</f>
        <v>120</v>
      </c>
      <c r="H58" s="443">
        <v>120</v>
      </c>
      <c r="I58" s="1340">
        <v>120</v>
      </c>
      <c r="J58" s="968"/>
    </row>
    <row r="59" spans="1:10" s="607" customFormat="1" ht="15.75" customHeight="1" thickBot="1">
      <c r="A59" s="610"/>
      <c r="B59" s="62" t="s">
        <v>942</v>
      </c>
      <c r="C59" s="61">
        <v>5171</v>
      </c>
      <c r="D59" s="61" t="s">
        <v>326</v>
      </c>
      <c r="E59" s="746" t="s">
        <v>945</v>
      </c>
      <c r="F59" s="615">
        <v>500</v>
      </c>
      <c r="G59" s="615">
        <f>500+145.354</f>
        <v>645.35400000000004</v>
      </c>
      <c r="H59" s="615">
        <v>500</v>
      </c>
      <c r="I59" s="1412">
        <v>500</v>
      </c>
      <c r="J59" s="968"/>
    </row>
    <row r="60" spans="1:10" s="607" customFormat="1" ht="15.75" hidden="1" customHeight="1" thickBot="1">
      <c r="A60" s="610"/>
      <c r="B60" s="1321" t="s">
        <v>942</v>
      </c>
      <c r="C60" s="1322" t="s">
        <v>54</v>
      </c>
      <c r="D60" s="1322" t="s">
        <v>326</v>
      </c>
      <c r="E60" s="754" t="s">
        <v>946</v>
      </c>
      <c r="F60" s="633">
        <v>0</v>
      </c>
      <c r="G60" s="633">
        <v>60</v>
      </c>
      <c r="H60" s="633">
        <v>0</v>
      </c>
      <c r="I60" s="1450">
        <v>0</v>
      </c>
      <c r="J60" s="968"/>
    </row>
    <row r="61" spans="1:10" s="607" customFormat="1" ht="15.75" customHeight="1" thickBot="1">
      <c r="A61" s="610"/>
      <c r="B61" s="101" t="s">
        <v>942</v>
      </c>
      <c r="C61" s="137" t="s">
        <v>189</v>
      </c>
      <c r="D61" s="137" t="s">
        <v>326</v>
      </c>
      <c r="E61" s="140" t="s">
        <v>947</v>
      </c>
      <c r="F61" s="615">
        <v>100</v>
      </c>
      <c r="G61" s="615">
        <v>100</v>
      </c>
      <c r="H61" s="615">
        <v>0</v>
      </c>
      <c r="I61" s="1412">
        <v>0</v>
      </c>
      <c r="J61" s="968"/>
    </row>
    <row r="62" spans="1:10" s="607" customFormat="1" ht="15.75" customHeight="1" thickBot="1">
      <c r="A62" s="610"/>
      <c r="B62" s="80" t="s">
        <v>942</v>
      </c>
      <c r="C62" s="61" t="s">
        <v>469</v>
      </c>
      <c r="D62" s="60" t="s">
        <v>326</v>
      </c>
      <c r="E62" s="746" t="s">
        <v>948</v>
      </c>
      <c r="F62" s="303">
        <v>200</v>
      </c>
      <c r="G62" s="303">
        <v>200</v>
      </c>
      <c r="H62" s="303">
        <v>200</v>
      </c>
      <c r="I62" s="278">
        <v>200</v>
      </c>
      <c r="J62" s="968"/>
    </row>
    <row r="63" spans="1:10" s="607" customFormat="1" ht="15.75" customHeight="1" thickBot="1">
      <c r="A63" s="610"/>
      <c r="B63" s="614">
        <v>3329</v>
      </c>
      <c r="C63" s="475">
        <v>5225</v>
      </c>
      <c r="D63" s="475" t="s">
        <v>326</v>
      </c>
      <c r="E63" s="755" t="s">
        <v>949</v>
      </c>
      <c r="F63" s="310">
        <v>600</v>
      </c>
      <c r="G63" s="310">
        <v>600</v>
      </c>
      <c r="H63" s="310">
        <v>500</v>
      </c>
      <c r="I63" s="1451">
        <v>500</v>
      </c>
      <c r="J63" s="968"/>
    </row>
    <row r="64" spans="1:10" s="607" customFormat="1" ht="15.75" customHeight="1" thickBot="1">
      <c r="A64" s="610"/>
      <c r="B64" s="614">
        <v>3322</v>
      </c>
      <c r="C64" s="475" t="s">
        <v>56</v>
      </c>
      <c r="D64" s="475" t="s">
        <v>326</v>
      </c>
      <c r="E64" s="755" t="s">
        <v>950</v>
      </c>
      <c r="F64" s="310">
        <v>1000</v>
      </c>
      <c r="G64" s="310">
        <f>1000+10</f>
        <v>1010</v>
      </c>
      <c r="H64" s="310">
        <v>0</v>
      </c>
      <c r="I64" s="1451">
        <v>0</v>
      </c>
      <c r="J64" s="968"/>
    </row>
    <row r="65" spans="1:19" s="607" customFormat="1" ht="15.75" customHeight="1" thickBot="1">
      <c r="A65" s="610"/>
      <c r="B65" s="627">
        <v>3322</v>
      </c>
      <c r="C65" s="628" t="s">
        <v>56</v>
      </c>
      <c r="D65" s="628" t="s">
        <v>326</v>
      </c>
      <c r="E65" s="756" t="s">
        <v>1493</v>
      </c>
      <c r="F65" s="634">
        <v>0</v>
      </c>
      <c r="G65" s="634">
        <v>0</v>
      </c>
      <c r="H65" s="634">
        <v>0</v>
      </c>
      <c r="I65" s="1452">
        <v>965</v>
      </c>
      <c r="J65" s="1722"/>
    </row>
    <row r="66" spans="1:19" s="607" customFormat="1" ht="15.75" hidden="1" customHeight="1" thickBot="1">
      <c r="A66" s="610"/>
      <c r="B66" s="614">
        <v>6402</v>
      </c>
      <c r="C66" s="475" t="s">
        <v>951</v>
      </c>
      <c r="D66" s="475" t="s">
        <v>326</v>
      </c>
      <c r="E66" s="756" t="s">
        <v>1109</v>
      </c>
      <c r="F66" s="310">
        <v>0</v>
      </c>
      <c r="G66" s="310">
        <v>82.228440000000006</v>
      </c>
      <c r="H66" s="310">
        <v>0</v>
      </c>
      <c r="I66" s="1451">
        <v>0</v>
      </c>
      <c r="J66" s="968"/>
    </row>
    <row r="67" spans="1:19" s="607" customFormat="1" ht="15.75" customHeight="1" thickBot="1">
      <c r="A67" s="610">
        <v>520</v>
      </c>
      <c r="B67" s="1960" t="s">
        <v>952</v>
      </c>
      <c r="C67" s="1961"/>
      <c r="D67" s="1961"/>
      <c r="E67" s="1961"/>
      <c r="F67" s="88">
        <f>SUM(F47:F66)</f>
        <v>7990</v>
      </c>
      <c r="G67" s="88">
        <f>SUM(G47:G66)</f>
        <v>8359.5824400000001</v>
      </c>
      <c r="H67" s="88">
        <f>SUM(H47:H66)</f>
        <v>5415</v>
      </c>
      <c r="I67" s="1362">
        <f>SUM(I47:I66)</f>
        <v>6480</v>
      </c>
      <c r="J67" s="968"/>
    </row>
    <row r="68" spans="1:19" s="607" customFormat="1" ht="15.75" hidden="1" customHeight="1" thickTop="1" thickBot="1">
      <c r="A68" s="610"/>
      <c r="B68" s="80">
        <v>3429</v>
      </c>
      <c r="C68" s="61" t="s">
        <v>785</v>
      </c>
      <c r="D68" s="475" t="s">
        <v>953</v>
      </c>
      <c r="E68" s="746" t="s">
        <v>954</v>
      </c>
      <c r="F68" s="622">
        <v>0</v>
      </c>
      <c r="G68" s="622">
        <v>35</v>
      </c>
      <c r="H68" s="622">
        <v>0</v>
      </c>
      <c r="I68" s="1445">
        <v>0</v>
      </c>
      <c r="J68" s="968"/>
    </row>
    <row r="69" spans="1:19" s="607" customFormat="1" ht="15.75" hidden="1" customHeight="1" thickBot="1">
      <c r="A69" s="610"/>
      <c r="B69" s="80">
        <v>3429</v>
      </c>
      <c r="C69" s="61" t="s">
        <v>152</v>
      </c>
      <c r="D69" s="475" t="s">
        <v>953</v>
      </c>
      <c r="E69" s="746" t="s">
        <v>955</v>
      </c>
      <c r="F69" s="622">
        <v>0</v>
      </c>
      <c r="G69" s="622">
        <v>5</v>
      </c>
      <c r="H69" s="622">
        <v>0</v>
      </c>
      <c r="I69" s="1445">
        <v>0</v>
      </c>
      <c r="J69" s="968"/>
    </row>
    <row r="70" spans="1:19" s="607" customFormat="1" ht="15.75" hidden="1" customHeight="1" thickBot="1">
      <c r="A70" s="610"/>
      <c r="B70" s="80">
        <v>3429</v>
      </c>
      <c r="C70" s="61" t="s">
        <v>478</v>
      </c>
      <c r="D70" s="475" t="s">
        <v>953</v>
      </c>
      <c r="E70" s="746" t="s">
        <v>956</v>
      </c>
      <c r="F70" s="622">
        <v>0</v>
      </c>
      <c r="G70" s="622">
        <v>5</v>
      </c>
      <c r="H70" s="622">
        <v>0</v>
      </c>
      <c r="I70" s="1445">
        <v>0</v>
      </c>
      <c r="J70" s="968"/>
    </row>
    <row r="71" spans="1:19" s="607" customFormat="1" ht="15.75" hidden="1" customHeight="1" thickBot="1">
      <c r="A71" s="610"/>
      <c r="B71" s="80">
        <v>3429</v>
      </c>
      <c r="C71" s="61" t="s">
        <v>190</v>
      </c>
      <c r="D71" s="475" t="s">
        <v>953</v>
      </c>
      <c r="E71" s="746" t="s">
        <v>957</v>
      </c>
      <c r="F71" s="622">
        <v>0</v>
      </c>
      <c r="G71" s="622">
        <v>20</v>
      </c>
      <c r="H71" s="622">
        <v>0</v>
      </c>
      <c r="I71" s="1445">
        <v>0</v>
      </c>
      <c r="J71" s="968"/>
    </row>
    <row r="72" spans="1:19" s="607" customFormat="1" ht="15.75" hidden="1" customHeight="1" thickBot="1">
      <c r="A72" s="610"/>
      <c r="B72" s="80">
        <v>3111</v>
      </c>
      <c r="C72" s="61" t="s">
        <v>398</v>
      </c>
      <c r="D72" s="475" t="s">
        <v>958</v>
      </c>
      <c r="E72" s="746" t="s">
        <v>959</v>
      </c>
      <c r="F72" s="622">
        <v>0</v>
      </c>
      <c r="G72" s="622">
        <v>10</v>
      </c>
      <c r="H72" s="622">
        <v>0</v>
      </c>
      <c r="I72" s="1445">
        <v>0</v>
      </c>
      <c r="J72" s="968"/>
    </row>
    <row r="73" spans="1:19" s="607" customFormat="1" ht="15.75" hidden="1" customHeight="1" thickBot="1">
      <c r="A73" s="610"/>
      <c r="B73" s="80">
        <v>3113</v>
      </c>
      <c r="C73" s="61" t="s">
        <v>398</v>
      </c>
      <c r="D73" s="475" t="s">
        <v>904</v>
      </c>
      <c r="E73" s="746" t="s">
        <v>961</v>
      </c>
      <c r="F73" s="622">
        <v>0</v>
      </c>
      <c r="G73" s="622">
        <v>10</v>
      </c>
      <c r="H73" s="622">
        <v>0</v>
      </c>
      <c r="I73" s="1445">
        <v>0</v>
      </c>
      <c r="J73" s="968"/>
    </row>
    <row r="74" spans="1:19" s="607" customFormat="1" ht="15.75" hidden="1" customHeight="1" thickBot="1">
      <c r="A74" s="610"/>
      <c r="B74" s="80">
        <v>3113</v>
      </c>
      <c r="C74" s="61" t="s">
        <v>398</v>
      </c>
      <c r="D74" s="475" t="s">
        <v>962</v>
      </c>
      <c r="E74" s="746" t="s">
        <v>963</v>
      </c>
      <c r="F74" s="622">
        <v>0</v>
      </c>
      <c r="G74" s="622">
        <f>20</f>
        <v>20</v>
      </c>
      <c r="H74" s="622">
        <v>0</v>
      </c>
      <c r="I74" s="1445">
        <v>0</v>
      </c>
      <c r="J74" s="968"/>
    </row>
    <row r="75" spans="1:19" s="607" customFormat="1" ht="15.75" hidden="1" customHeight="1" thickBot="1">
      <c r="A75" s="610"/>
      <c r="B75" s="80">
        <v>3113</v>
      </c>
      <c r="C75" s="61" t="s">
        <v>398</v>
      </c>
      <c r="D75" s="475" t="s">
        <v>964</v>
      </c>
      <c r="E75" s="746" t="s">
        <v>965</v>
      </c>
      <c r="F75" s="622">
        <v>0</v>
      </c>
      <c r="G75" s="622">
        <v>10</v>
      </c>
      <c r="H75" s="622">
        <v>0</v>
      </c>
      <c r="I75" s="1445">
        <v>0</v>
      </c>
      <c r="J75" s="968"/>
    </row>
    <row r="76" spans="1:19" s="607" customFormat="1" ht="15.75" hidden="1" customHeight="1" thickBot="1">
      <c r="A76" s="610"/>
      <c r="B76" s="80">
        <v>3113</v>
      </c>
      <c r="C76" s="61" t="s">
        <v>398</v>
      </c>
      <c r="D76" s="475" t="s">
        <v>906</v>
      </c>
      <c r="E76" s="746" t="s">
        <v>966</v>
      </c>
      <c r="F76" s="622">
        <v>0</v>
      </c>
      <c r="G76" s="622">
        <f>50+10</f>
        <v>60</v>
      </c>
      <c r="H76" s="622">
        <v>0</v>
      </c>
      <c r="I76" s="1445">
        <v>0</v>
      </c>
      <c r="J76" s="968"/>
    </row>
    <row r="77" spans="1:19" ht="15.75" customHeight="1" thickTop="1" thickBot="1">
      <c r="B77" s="629">
        <v>3429</v>
      </c>
      <c r="C77" s="630">
        <v>5901</v>
      </c>
      <c r="D77" s="630" t="s">
        <v>953</v>
      </c>
      <c r="E77" s="751" t="s">
        <v>967</v>
      </c>
      <c r="F77" s="636">
        <v>300</v>
      </c>
      <c r="G77" s="636">
        <f>300-230-30-5</f>
        <v>35</v>
      </c>
      <c r="H77" s="636">
        <f>150+110</f>
        <v>260</v>
      </c>
      <c r="I77" s="1453">
        <f>150+110</f>
        <v>260</v>
      </c>
      <c r="J77" s="968"/>
      <c r="K77" s="607"/>
      <c r="L77" s="607"/>
      <c r="M77" s="607"/>
      <c r="N77" s="607"/>
      <c r="O77" s="607"/>
      <c r="P77" s="607"/>
      <c r="Q77" s="607"/>
      <c r="R77" s="607"/>
      <c r="S77" s="607"/>
    </row>
    <row r="78" spans="1:19" ht="15.75" customHeight="1" thickTop="1" thickBot="1">
      <c r="A78" s="635">
        <v>531</v>
      </c>
      <c r="B78" s="1960" t="s">
        <v>1123</v>
      </c>
      <c r="C78" s="1961"/>
      <c r="D78" s="1961"/>
      <c r="E78" s="1961"/>
      <c r="F78" s="88">
        <f>SUM(F68:F77)</f>
        <v>300</v>
      </c>
      <c r="G78" s="88">
        <f>SUM(G68:G77)</f>
        <v>210</v>
      </c>
      <c r="H78" s="88">
        <f>SUM(H68:H77)</f>
        <v>260</v>
      </c>
      <c r="I78" s="1362">
        <f>SUM(I68:I77)</f>
        <v>260</v>
      </c>
      <c r="J78" s="968"/>
      <c r="K78" s="607"/>
      <c r="L78" s="607"/>
      <c r="M78" s="607"/>
      <c r="N78" s="607"/>
      <c r="O78" s="607"/>
      <c r="P78" s="607"/>
      <c r="Q78" s="607"/>
      <c r="R78" s="607"/>
      <c r="S78" s="607"/>
    </row>
    <row r="79" spans="1:19" ht="15.75" customHeight="1" thickTop="1" thickBot="1">
      <c r="B79" s="221">
        <v>3314</v>
      </c>
      <c r="C79" s="222">
        <v>5136</v>
      </c>
      <c r="D79" s="222" t="s">
        <v>968</v>
      </c>
      <c r="E79" s="749" t="s">
        <v>969</v>
      </c>
      <c r="F79" s="611">
        <v>365</v>
      </c>
      <c r="G79" s="611">
        <v>365</v>
      </c>
      <c r="H79" s="611">
        <v>365</v>
      </c>
      <c r="I79" s="1449">
        <v>365</v>
      </c>
    </row>
    <row r="80" spans="1:19" ht="15.75" customHeight="1" thickBot="1">
      <c r="B80" s="80">
        <v>3314</v>
      </c>
      <c r="C80" s="61">
        <v>5137</v>
      </c>
      <c r="D80" s="60" t="s">
        <v>968</v>
      </c>
      <c r="E80" s="746" t="s">
        <v>551</v>
      </c>
      <c r="F80" s="443">
        <v>20</v>
      </c>
      <c r="G80" s="443">
        <f>20-0.75432</f>
        <v>19.24568</v>
      </c>
      <c r="H80" s="443">
        <v>20</v>
      </c>
      <c r="I80" s="1340">
        <v>20</v>
      </c>
    </row>
    <row r="81" spans="1:25" ht="15.75" customHeight="1" thickBot="1">
      <c r="B81" s="80">
        <v>3314</v>
      </c>
      <c r="C81" s="61">
        <v>5139</v>
      </c>
      <c r="D81" s="60" t="s">
        <v>968</v>
      </c>
      <c r="E81" s="746" t="s">
        <v>156</v>
      </c>
      <c r="F81" s="443">
        <v>55</v>
      </c>
      <c r="G81" s="443">
        <v>55</v>
      </c>
      <c r="H81" s="443">
        <v>55</v>
      </c>
      <c r="I81" s="1340">
        <v>55</v>
      </c>
    </row>
    <row r="82" spans="1:25" ht="15.75" customHeight="1" thickBot="1">
      <c r="B82" s="614">
        <v>3314</v>
      </c>
      <c r="C82" s="475">
        <v>5151</v>
      </c>
      <c r="D82" s="475" t="s">
        <v>968</v>
      </c>
      <c r="E82" s="747" t="s">
        <v>611</v>
      </c>
      <c r="F82" s="615">
        <v>30</v>
      </c>
      <c r="G82" s="615">
        <v>30</v>
      </c>
      <c r="H82" s="615">
        <v>30</v>
      </c>
      <c r="I82" s="1412">
        <v>30</v>
      </c>
    </row>
    <row r="83" spans="1:25" ht="15.75" customHeight="1" thickBot="1">
      <c r="B83" s="614">
        <v>3314</v>
      </c>
      <c r="C83" s="475">
        <v>5152</v>
      </c>
      <c r="D83" s="475" t="s">
        <v>968</v>
      </c>
      <c r="E83" s="747" t="s">
        <v>613</v>
      </c>
      <c r="F83" s="615">
        <v>450</v>
      </c>
      <c r="G83" s="615">
        <v>450</v>
      </c>
      <c r="H83" s="615">
        <v>450</v>
      </c>
      <c r="I83" s="1412">
        <v>450</v>
      </c>
    </row>
    <row r="84" spans="1:25" ht="15.75" customHeight="1" thickBot="1">
      <c r="B84" s="614">
        <v>3314</v>
      </c>
      <c r="C84" s="475">
        <v>5153</v>
      </c>
      <c r="D84" s="475" t="s">
        <v>968</v>
      </c>
      <c r="E84" s="747" t="s">
        <v>88</v>
      </c>
      <c r="F84" s="615">
        <v>110</v>
      </c>
      <c r="G84" s="615">
        <v>110</v>
      </c>
      <c r="H84" s="615">
        <v>110</v>
      </c>
      <c r="I84" s="1412">
        <v>110</v>
      </c>
    </row>
    <row r="85" spans="1:25" ht="15.75" customHeight="1" thickBot="1">
      <c r="B85" s="80">
        <v>3314</v>
      </c>
      <c r="C85" s="61">
        <v>5154</v>
      </c>
      <c r="D85" s="60" t="s">
        <v>968</v>
      </c>
      <c r="E85" s="746" t="s">
        <v>87</v>
      </c>
      <c r="F85" s="443">
        <v>300</v>
      </c>
      <c r="G85" s="443">
        <v>300</v>
      </c>
      <c r="H85" s="443">
        <v>300</v>
      </c>
      <c r="I85" s="1340">
        <v>300</v>
      </c>
    </row>
    <row r="86" spans="1:25" ht="15.75" customHeight="1" thickBot="1">
      <c r="B86" s="614">
        <v>3314</v>
      </c>
      <c r="C86" s="61" t="s">
        <v>970</v>
      </c>
      <c r="D86" s="475" t="s">
        <v>968</v>
      </c>
      <c r="E86" s="746" t="s">
        <v>719</v>
      </c>
      <c r="F86" s="443">
        <v>35</v>
      </c>
      <c r="G86" s="443">
        <v>35</v>
      </c>
      <c r="H86" s="443">
        <v>35</v>
      </c>
      <c r="I86" s="1340">
        <v>35</v>
      </c>
    </row>
    <row r="87" spans="1:25" ht="15.75" customHeight="1" thickBot="1">
      <c r="B87" s="80">
        <v>3314</v>
      </c>
      <c r="C87" s="61">
        <v>5162</v>
      </c>
      <c r="D87" s="60" t="s">
        <v>968</v>
      </c>
      <c r="E87" s="746" t="s">
        <v>971</v>
      </c>
      <c r="F87" s="443">
        <v>135</v>
      </c>
      <c r="G87" s="443">
        <v>135</v>
      </c>
      <c r="H87" s="443">
        <v>170</v>
      </c>
      <c r="I87" s="1340">
        <v>170</v>
      </c>
    </row>
    <row r="88" spans="1:25" ht="15.75" customHeight="1" thickBot="1">
      <c r="B88" s="614">
        <v>3314</v>
      </c>
      <c r="C88" s="475">
        <v>5164</v>
      </c>
      <c r="D88" s="475" t="s">
        <v>968</v>
      </c>
      <c r="E88" s="747" t="s">
        <v>208</v>
      </c>
      <c r="F88" s="615">
        <v>295</v>
      </c>
      <c r="G88" s="615">
        <v>295</v>
      </c>
      <c r="H88" s="615">
        <v>295</v>
      </c>
      <c r="I88" s="1412">
        <v>295</v>
      </c>
    </row>
    <row r="89" spans="1:25" ht="15.75" customHeight="1" thickBot="1">
      <c r="B89" s="614">
        <v>3314</v>
      </c>
      <c r="C89" s="475">
        <v>5169</v>
      </c>
      <c r="D89" s="475" t="s">
        <v>968</v>
      </c>
      <c r="E89" s="747" t="s">
        <v>55</v>
      </c>
      <c r="F89" s="615">
        <v>480</v>
      </c>
      <c r="G89" s="615">
        <v>480</v>
      </c>
      <c r="H89" s="615">
        <v>370</v>
      </c>
      <c r="I89" s="1412">
        <v>370</v>
      </c>
      <c r="J89" s="968"/>
      <c r="K89" s="607"/>
      <c r="L89" s="607"/>
      <c r="M89" s="607"/>
      <c r="N89" s="607"/>
      <c r="O89" s="607"/>
      <c r="P89" s="607"/>
      <c r="Q89" s="607"/>
      <c r="R89" s="607"/>
      <c r="S89" s="607"/>
      <c r="T89" s="607"/>
      <c r="U89" s="607"/>
      <c r="V89" s="607"/>
      <c r="W89" s="607"/>
      <c r="X89" s="607"/>
      <c r="Y89" s="607"/>
    </row>
    <row r="90" spans="1:25" ht="15.75" customHeight="1" thickBot="1">
      <c r="B90" s="614">
        <v>3314</v>
      </c>
      <c r="C90" s="475">
        <v>5171</v>
      </c>
      <c r="D90" s="475" t="s">
        <v>968</v>
      </c>
      <c r="E90" s="747" t="s">
        <v>609</v>
      </c>
      <c r="F90" s="615">
        <v>65</v>
      </c>
      <c r="G90" s="615">
        <f>65-0.084</f>
        <v>64.915999999999997</v>
      </c>
      <c r="H90" s="615">
        <v>65</v>
      </c>
      <c r="I90" s="1412">
        <v>65</v>
      </c>
    </row>
    <row r="91" spans="1:25" ht="15.75" customHeight="1" thickBot="1">
      <c r="B91" s="638">
        <v>3314</v>
      </c>
      <c r="C91" s="639" t="s">
        <v>511</v>
      </c>
      <c r="D91" s="639" t="s">
        <v>968</v>
      </c>
      <c r="E91" s="757" t="s">
        <v>512</v>
      </c>
      <c r="F91" s="640">
        <v>5</v>
      </c>
      <c r="G91" s="640">
        <v>5</v>
      </c>
      <c r="H91" s="640">
        <v>5</v>
      </c>
      <c r="I91" s="1454">
        <v>5</v>
      </c>
    </row>
    <row r="92" spans="1:25" ht="15.75" customHeight="1" thickTop="1" thickBot="1">
      <c r="A92" s="635">
        <v>532</v>
      </c>
      <c r="B92" s="1998" t="s">
        <v>972</v>
      </c>
      <c r="C92" s="1999"/>
      <c r="D92" s="1999"/>
      <c r="E92" s="1999"/>
      <c r="F92" s="54">
        <f>SUM(F79:F91)</f>
        <v>2345</v>
      </c>
      <c r="G92" s="54">
        <f>SUM(G79:G91)</f>
        <v>2344.1616800000002</v>
      </c>
      <c r="H92" s="54">
        <f>SUM(H79:H91)</f>
        <v>2270</v>
      </c>
      <c r="I92" s="1455">
        <f>SUM(I79:I91)</f>
        <v>2270</v>
      </c>
    </row>
    <row r="93" spans="1:25" ht="15.75" customHeight="1" thickTop="1" thickBot="1">
      <c r="B93" s="221">
        <v>3419</v>
      </c>
      <c r="C93" s="222">
        <v>5213</v>
      </c>
      <c r="D93" s="222">
        <v>1410</v>
      </c>
      <c r="E93" s="749" t="s">
        <v>973</v>
      </c>
      <c r="F93" s="611">
        <f>13300+2700</f>
        <v>16000</v>
      </c>
      <c r="G93" s="611">
        <f>13300+2700</f>
        <v>16000</v>
      </c>
      <c r="H93" s="611">
        <f>10000-2500</f>
        <v>7500</v>
      </c>
      <c r="I93" s="1449">
        <f>10000-2500</f>
        <v>7500</v>
      </c>
    </row>
    <row r="94" spans="1:25" ht="15.75" customHeight="1" thickBot="1">
      <c r="B94" s="80">
        <v>3419</v>
      </c>
      <c r="C94" s="61">
        <v>5222</v>
      </c>
      <c r="D94" s="60">
        <v>1416</v>
      </c>
      <c r="E94" s="746" t="s">
        <v>974</v>
      </c>
      <c r="F94" s="443">
        <v>210</v>
      </c>
      <c r="G94" s="443">
        <f>210+80</f>
        <v>290</v>
      </c>
      <c r="H94" s="443">
        <v>190</v>
      </c>
      <c r="I94" s="1340">
        <v>190</v>
      </c>
    </row>
    <row r="95" spans="1:25" ht="15.75" customHeight="1" thickBot="1">
      <c r="B95" s="614">
        <v>3419</v>
      </c>
      <c r="C95" s="475">
        <v>5213</v>
      </c>
      <c r="D95" s="475">
        <v>1420</v>
      </c>
      <c r="E95" s="747" t="s">
        <v>975</v>
      </c>
      <c r="F95" s="615">
        <v>1330</v>
      </c>
      <c r="G95" s="615">
        <f>1330+25</f>
        <v>1355</v>
      </c>
      <c r="H95" s="615">
        <v>1200</v>
      </c>
      <c r="I95" s="1412">
        <v>1200</v>
      </c>
    </row>
    <row r="96" spans="1:25" ht="15.75" customHeight="1" thickBot="1">
      <c r="B96" s="80">
        <v>3419</v>
      </c>
      <c r="C96" s="61" t="s">
        <v>474</v>
      </c>
      <c r="D96" s="61" t="s">
        <v>1541</v>
      </c>
      <c r="E96" s="746" t="s">
        <v>1435</v>
      </c>
      <c r="F96" s="443">
        <v>0</v>
      </c>
      <c r="G96" s="443">
        <v>0</v>
      </c>
      <c r="H96" s="443">
        <v>150</v>
      </c>
      <c r="I96" s="1340">
        <v>150</v>
      </c>
    </row>
    <row r="97" spans="2:14" ht="15.75" customHeight="1" thickBot="1">
      <c r="B97" s="614">
        <v>3419</v>
      </c>
      <c r="C97" s="475">
        <v>5222</v>
      </c>
      <c r="D97" s="475">
        <v>1425</v>
      </c>
      <c r="E97" s="747" t="s">
        <v>976</v>
      </c>
      <c r="F97" s="615">
        <v>215</v>
      </c>
      <c r="G97" s="615">
        <f>215+180</f>
        <v>395</v>
      </c>
      <c r="H97" s="615">
        <v>190</v>
      </c>
      <c r="I97" s="1412">
        <v>190</v>
      </c>
    </row>
    <row r="98" spans="2:14" ht="15.75" customHeight="1" thickBot="1">
      <c r="B98" s="614">
        <v>3419</v>
      </c>
      <c r="C98" s="475">
        <v>5222</v>
      </c>
      <c r="D98" s="475">
        <v>1435</v>
      </c>
      <c r="E98" s="747" t="s">
        <v>977</v>
      </c>
      <c r="F98" s="615">
        <v>410</v>
      </c>
      <c r="G98" s="615">
        <f>410+400</f>
        <v>810</v>
      </c>
      <c r="H98" s="615">
        <v>370</v>
      </c>
      <c r="I98" s="1412">
        <v>370</v>
      </c>
    </row>
    <row r="99" spans="2:14" ht="15.75" customHeight="1" thickBot="1">
      <c r="B99" s="80">
        <v>3419</v>
      </c>
      <c r="C99" s="61">
        <v>5222</v>
      </c>
      <c r="D99" s="60">
        <v>1450</v>
      </c>
      <c r="E99" s="746" t="s">
        <v>978</v>
      </c>
      <c r="F99" s="443">
        <v>2440</v>
      </c>
      <c r="G99" s="443">
        <f>2440+550</f>
        <v>2990</v>
      </c>
      <c r="H99" s="443">
        <v>2200</v>
      </c>
      <c r="I99" s="1340">
        <v>2200</v>
      </c>
    </row>
    <row r="100" spans="2:14" ht="15.75" hidden="1" customHeight="1" thickBot="1">
      <c r="B100" s="80">
        <v>3419</v>
      </c>
      <c r="C100" s="61" t="s">
        <v>478</v>
      </c>
      <c r="D100" s="61" t="s">
        <v>979</v>
      </c>
      <c r="E100" s="746" t="s">
        <v>980</v>
      </c>
      <c r="F100" s="443">
        <v>0</v>
      </c>
      <c r="G100" s="443">
        <v>48.5</v>
      </c>
      <c r="H100" s="443">
        <v>0</v>
      </c>
      <c r="I100" s="1340">
        <v>0</v>
      </c>
    </row>
    <row r="101" spans="2:14" ht="15.75" hidden="1" customHeight="1" thickBot="1">
      <c r="B101" s="80">
        <v>3419</v>
      </c>
      <c r="C101" s="61" t="s">
        <v>478</v>
      </c>
      <c r="D101" s="61" t="s">
        <v>979</v>
      </c>
      <c r="E101" s="746" t="s">
        <v>981</v>
      </c>
      <c r="F101" s="443">
        <v>0</v>
      </c>
      <c r="G101" s="443">
        <v>30</v>
      </c>
      <c r="H101" s="443">
        <v>0</v>
      </c>
      <c r="I101" s="1340">
        <v>0</v>
      </c>
    </row>
    <row r="102" spans="2:14" ht="15.75" hidden="1" customHeight="1" thickBot="1">
      <c r="B102" s="80">
        <v>3419</v>
      </c>
      <c r="C102" s="61" t="s">
        <v>486</v>
      </c>
      <c r="D102" s="61" t="s">
        <v>979</v>
      </c>
      <c r="E102" s="746" t="s">
        <v>982</v>
      </c>
      <c r="F102" s="443">
        <v>0</v>
      </c>
      <c r="G102" s="443">
        <v>15</v>
      </c>
      <c r="H102" s="443">
        <v>0</v>
      </c>
      <c r="I102" s="1340">
        <v>0</v>
      </c>
    </row>
    <row r="103" spans="2:14" ht="15.75" hidden="1" customHeight="1" thickBot="1">
      <c r="B103" s="80">
        <v>3419</v>
      </c>
      <c r="C103" s="61" t="s">
        <v>486</v>
      </c>
      <c r="D103" s="61" t="s">
        <v>979</v>
      </c>
      <c r="E103" s="746" t="s">
        <v>983</v>
      </c>
      <c r="F103" s="443">
        <v>0</v>
      </c>
      <c r="G103" s="443">
        <v>176</v>
      </c>
      <c r="H103" s="443">
        <v>0</v>
      </c>
      <c r="I103" s="1340">
        <v>0</v>
      </c>
    </row>
    <row r="104" spans="2:14" ht="15.75" customHeight="1" thickBot="1">
      <c r="B104" s="80">
        <v>3419</v>
      </c>
      <c r="C104" s="61" t="s">
        <v>157</v>
      </c>
      <c r="D104" s="61" t="s">
        <v>979</v>
      </c>
      <c r="E104" s="746" t="s">
        <v>984</v>
      </c>
      <c r="F104" s="443">
        <v>540</v>
      </c>
      <c r="G104" s="443">
        <f>540-48.5-176-45</f>
        <v>270.5</v>
      </c>
      <c r="H104" s="443">
        <v>0</v>
      </c>
      <c r="I104" s="1340">
        <v>0</v>
      </c>
      <c r="J104" s="968"/>
      <c r="K104" s="607"/>
      <c r="L104" s="607"/>
      <c r="M104" s="607"/>
      <c r="N104" s="607"/>
    </row>
    <row r="105" spans="2:14" ht="15.75" customHeight="1" thickBot="1">
      <c r="B105" s="614">
        <v>3419</v>
      </c>
      <c r="C105" s="475">
        <v>5222</v>
      </c>
      <c r="D105" s="475">
        <v>1456</v>
      </c>
      <c r="E105" s="747" t="s">
        <v>985</v>
      </c>
      <c r="F105" s="615">
        <v>330</v>
      </c>
      <c r="G105" s="615">
        <f>330+100</f>
        <v>430</v>
      </c>
      <c r="H105" s="615">
        <v>330</v>
      </c>
      <c r="I105" s="1412">
        <v>330</v>
      </c>
    </row>
    <row r="106" spans="2:14" ht="15.75" customHeight="1" thickBot="1">
      <c r="B106" s="614">
        <v>3419</v>
      </c>
      <c r="C106" s="475">
        <v>5222</v>
      </c>
      <c r="D106" s="475">
        <v>1457</v>
      </c>
      <c r="E106" s="747" t="s">
        <v>986</v>
      </c>
      <c r="F106" s="615">
        <v>230</v>
      </c>
      <c r="G106" s="615">
        <v>230</v>
      </c>
      <c r="H106" s="615">
        <v>230</v>
      </c>
      <c r="I106" s="1412">
        <v>230</v>
      </c>
    </row>
    <row r="107" spans="2:14" ht="15.75" customHeight="1" thickBot="1">
      <c r="B107" s="614">
        <v>3419</v>
      </c>
      <c r="C107" s="475">
        <v>5222</v>
      </c>
      <c r="D107" s="475">
        <v>1458</v>
      </c>
      <c r="E107" s="747" t="s">
        <v>987</v>
      </c>
      <c r="F107" s="615">
        <v>90</v>
      </c>
      <c r="G107" s="615">
        <v>90</v>
      </c>
      <c r="H107" s="615">
        <v>80</v>
      </c>
      <c r="I107" s="1412">
        <v>80</v>
      </c>
    </row>
    <row r="108" spans="2:14" ht="15.75" customHeight="1" thickBot="1">
      <c r="B108" s="2013" t="s">
        <v>988</v>
      </c>
      <c r="C108" s="2014"/>
      <c r="D108" s="2014"/>
      <c r="E108" s="2015"/>
      <c r="F108" s="641">
        <f>SUM(F93:F107)</f>
        <v>21795</v>
      </c>
      <c r="G108" s="641">
        <f>SUM(G93:G107)</f>
        <v>23130</v>
      </c>
      <c r="H108" s="641">
        <f>SUM(H93:H107)</f>
        <v>12440</v>
      </c>
      <c r="I108" s="1455">
        <f>SUM(I93:I107)</f>
        <v>12440</v>
      </c>
    </row>
    <row r="109" spans="2:14" ht="15.75" customHeight="1" thickBot="1">
      <c r="B109" s="509">
        <v>3419</v>
      </c>
      <c r="C109" s="510" t="s">
        <v>152</v>
      </c>
      <c r="D109" s="510" t="s">
        <v>989</v>
      </c>
      <c r="E109" s="758" t="s">
        <v>990</v>
      </c>
      <c r="F109" s="642" t="s">
        <v>105</v>
      </c>
      <c r="G109" s="642">
        <v>1580</v>
      </c>
      <c r="H109" s="642">
        <v>0</v>
      </c>
      <c r="I109" s="1456">
        <v>0</v>
      </c>
    </row>
    <row r="110" spans="2:14" ht="15.75" customHeight="1" thickBot="1">
      <c r="B110" s="509">
        <v>3419</v>
      </c>
      <c r="C110" s="510" t="s">
        <v>478</v>
      </c>
      <c r="D110" s="510" t="s">
        <v>989</v>
      </c>
      <c r="E110" s="758" t="s">
        <v>991</v>
      </c>
      <c r="F110" s="642" t="s">
        <v>105</v>
      </c>
      <c r="G110" s="642">
        <v>1350</v>
      </c>
      <c r="H110" s="642">
        <v>0</v>
      </c>
      <c r="I110" s="1456">
        <v>0</v>
      </c>
    </row>
    <row r="111" spans="2:14" ht="15.75" customHeight="1" thickBot="1">
      <c r="B111" s="509">
        <v>3419</v>
      </c>
      <c r="C111" s="510">
        <v>5901</v>
      </c>
      <c r="D111" s="513">
        <v>2615</v>
      </c>
      <c r="E111" s="758" t="s">
        <v>992</v>
      </c>
      <c r="F111" s="642">
        <v>4500</v>
      </c>
      <c r="G111" s="642">
        <f>4500-2300-300</f>
        <v>1900</v>
      </c>
      <c r="H111" s="642">
        <v>2500</v>
      </c>
      <c r="I111" s="1456">
        <v>2500</v>
      </c>
    </row>
    <row r="112" spans="2:14" ht="15.75" customHeight="1" thickBot="1">
      <c r="B112" s="2002" t="s">
        <v>992</v>
      </c>
      <c r="C112" s="2003"/>
      <c r="D112" s="2003"/>
      <c r="E112" s="2004"/>
      <c r="F112" s="643">
        <f>SUM(F109:F111)</f>
        <v>4500</v>
      </c>
      <c r="G112" s="643">
        <f>SUM(G109:G111)</f>
        <v>4830</v>
      </c>
      <c r="H112" s="643">
        <f>SUM(H109:H111)</f>
        <v>2500</v>
      </c>
      <c r="I112" s="1455">
        <f>SUM(I109:I111)</f>
        <v>2500</v>
      </c>
    </row>
    <row r="113" spans="2:9" ht="15.75" hidden="1" customHeight="1" thickBot="1">
      <c r="B113" s="644">
        <v>3419</v>
      </c>
      <c r="C113" s="645" t="s">
        <v>152</v>
      </c>
      <c r="D113" s="645" t="s">
        <v>993</v>
      </c>
      <c r="E113" s="759" t="s">
        <v>994</v>
      </c>
      <c r="F113" s="646">
        <v>0</v>
      </c>
      <c r="G113" s="646">
        <v>25</v>
      </c>
      <c r="H113" s="646">
        <v>0</v>
      </c>
      <c r="I113" s="1457">
        <v>0</v>
      </c>
    </row>
    <row r="114" spans="2:9" ht="15.75" hidden="1" customHeight="1" thickBot="1">
      <c r="B114" s="644">
        <v>3419</v>
      </c>
      <c r="C114" s="645" t="s">
        <v>152</v>
      </c>
      <c r="D114" s="645" t="s">
        <v>995</v>
      </c>
      <c r="E114" s="759" t="s">
        <v>996</v>
      </c>
      <c r="F114" s="646">
        <v>0</v>
      </c>
      <c r="G114" s="646">
        <v>10</v>
      </c>
      <c r="H114" s="646">
        <v>0</v>
      </c>
      <c r="I114" s="1457">
        <v>0</v>
      </c>
    </row>
    <row r="115" spans="2:9" ht="15.75" hidden="1" customHeight="1" thickBot="1">
      <c r="B115" s="644">
        <v>3419</v>
      </c>
      <c r="C115" s="645" t="s">
        <v>152</v>
      </c>
      <c r="D115" s="645" t="s">
        <v>995</v>
      </c>
      <c r="E115" s="759" t="s">
        <v>997</v>
      </c>
      <c r="F115" s="646">
        <v>0</v>
      </c>
      <c r="G115" s="646">
        <v>20</v>
      </c>
      <c r="H115" s="646">
        <v>0</v>
      </c>
      <c r="I115" s="1457">
        <v>0</v>
      </c>
    </row>
    <row r="116" spans="2:9" ht="15.75" hidden="1" customHeight="1" thickBot="1">
      <c r="B116" s="644">
        <v>3419</v>
      </c>
      <c r="C116" s="645" t="s">
        <v>152</v>
      </c>
      <c r="D116" s="645" t="s">
        <v>995</v>
      </c>
      <c r="E116" s="759" t="s">
        <v>998</v>
      </c>
      <c r="F116" s="646">
        <v>0</v>
      </c>
      <c r="G116" s="646">
        <v>360</v>
      </c>
      <c r="H116" s="646">
        <v>0</v>
      </c>
      <c r="I116" s="1457">
        <v>0</v>
      </c>
    </row>
    <row r="117" spans="2:9" ht="15.75" hidden="1" customHeight="1" thickBot="1">
      <c r="B117" s="644">
        <v>3419</v>
      </c>
      <c r="C117" s="645" t="s">
        <v>152</v>
      </c>
      <c r="D117" s="645" t="s">
        <v>995</v>
      </c>
      <c r="E117" s="759" t="s">
        <v>999</v>
      </c>
      <c r="F117" s="646">
        <v>0</v>
      </c>
      <c r="G117" s="646">
        <v>600</v>
      </c>
      <c r="H117" s="646">
        <v>0</v>
      </c>
      <c r="I117" s="1457">
        <v>0</v>
      </c>
    </row>
    <row r="118" spans="2:9" ht="15.75" hidden="1" customHeight="1" thickBot="1">
      <c r="B118" s="644">
        <v>3419</v>
      </c>
      <c r="C118" s="645" t="s">
        <v>478</v>
      </c>
      <c r="D118" s="645" t="s">
        <v>1000</v>
      </c>
      <c r="E118" s="759" t="s">
        <v>1001</v>
      </c>
      <c r="F118" s="646">
        <v>0</v>
      </c>
      <c r="G118" s="646">
        <v>15</v>
      </c>
      <c r="H118" s="646">
        <v>0</v>
      </c>
      <c r="I118" s="1457">
        <v>0</v>
      </c>
    </row>
    <row r="119" spans="2:9" ht="15.75" hidden="1" customHeight="1" thickBot="1">
      <c r="B119" s="644">
        <v>3419</v>
      </c>
      <c r="C119" s="645" t="s">
        <v>478</v>
      </c>
      <c r="D119" s="645">
        <v>1440</v>
      </c>
      <c r="E119" s="759" t="s">
        <v>1002</v>
      </c>
      <c r="F119" s="646">
        <v>0</v>
      </c>
      <c r="G119" s="646">
        <f>30+80</f>
        <v>110</v>
      </c>
      <c r="H119" s="646">
        <v>0</v>
      </c>
      <c r="I119" s="1457">
        <v>0</v>
      </c>
    </row>
    <row r="120" spans="2:9" ht="15.75" hidden="1" customHeight="1" thickBot="1">
      <c r="B120" s="644">
        <v>3419</v>
      </c>
      <c r="C120" s="645" t="s">
        <v>478</v>
      </c>
      <c r="D120" s="645" t="s">
        <v>1003</v>
      </c>
      <c r="E120" s="759" t="s">
        <v>1004</v>
      </c>
      <c r="F120" s="646">
        <v>0</v>
      </c>
      <c r="G120" s="646">
        <f>140+180</f>
        <v>320</v>
      </c>
      <c r="H120" s="646">
        <v>0</v>
      </c>
      <c r="I120" s="1457">
        <v>0</v>
      </c>
    </row>
    <row r="121" spans="2:9" ht="15.75" hidden="1" customHeight="1" thickBot="1">
      <c r="B121" s="644">
        <v>3419</v>
      </c>
      <c r="C121" s="645" t="s">
        <v>478</v>
      </c>
      <c r="D121" s="645">
        <v>2614</v>
      </c>
      <c r="E121" s="759" t="s">
        <v>1005</v>
      </c>
      <c r="F121" s="646">
        <v>0</v>
      </c>
      <c r="G121" s="646">
        <v>9548</v>
      </c>
      <c r="H121" s="646">
        <v>0</v>
      </c>
      <c r="I121" s="1457">
        <v>0</v>
      </c>
    </row>
    <row r="122" spans="2:9" ht="15.75" hidden="1" customHeight="1" thickBot="1">
      <c r="B122" s="644">
        <v>3419</v>
      </c>
      <c r="C122" s="645" t="s">
        <v>190</v>
      </c>
      <c r="D122" s="645">
        <v>2614</v>
      </c>
      <c r="E122" s="759" t="s">
        <v>1006</v>
      </c>
      <c r="F122" s="646">
        <v>0</v>
      </c>
      <c r="G122" s="646">
        <v>480</v>
      </c>
      <c r="H122" s="646">
        <v>0</v>
      </c>
      <c r="I122" s="1457">
        <v>0</v>
      </c>
    </row>
    <row r="123" spans="2:9" ht="15.75" hidden="1" customHeight="1" thickBot="1">
      <c r="B123" s="644">
        <v>3111</v>
      </c>
      <c r="C123" s="645" t="s">
        <v>398</v>
      </c>
      <c r="D123" s="645" t="s">
        <v>181</v>
      </c>
      <c r="E123" s="759" t="s">
        <v>1007</v>
      </c>
      <c r="F123" s="646">
        <v>0</v>
      </c>
      <c r="G123" s="646">
        <v>10</v>
      </c>
      <c r="H123" s="646">
        <v>0</v>
      </c>
      <c r="I123" s="1457">
        <v>0</v>
      </c>
    </row>
    <row r="124" spans="2:9" ht="15.75" hidden="1" customHeight="1" thickBot="1">
      <c r="B124" s="644">
        <v>3111</v>
      </c>
      <c r="C124" s="645" t="s">
        <v>398</v>
      </c>
      <c r="D124" s="645" t="s">
        <v>958</v>
      </c>
      <c r="E124" s="759" t="s">
        <v>1008</v>
      </c>
      <c r="F124" s="646">
        <v>0</v>
      </c>
      <c r="G124" s="646">
        <f>10+5</f>
        <v>15</v>
      </c>
      <c r="H124" s="646">
        <v>0</v>
      </c>
      <c r="I124" s="1457">
        <v>0</v>
      </c>
    </row>
    <row r="125" spans="2:9" ht="15.75" hidden="1" customHeight="1" thickBot="1">
      <c r="B125" s="644">
        <v>3112</v>
      </c>
      <c r="C125" s="645" t="s">
        <v>398</v>
      </c>
      <c r="D125" s="645" t="s">
        <v>1009</v>
      </c>
      <c r="E125" s="759" t="s">
        <v>1010</v>
      </c>
      <c r="F125" s="646">
        <v>0</v>
      </c>
      <c r="G125" s="646">
        <v>10</v>
      </c>
      <c r="H125" s="646">
        <v>0</v>
      </c>
      <c r="I125" s="1457">
        <v>0</v>
      </c>
    </row>
    <row r="126" spans="2:9" ht="15.75" hidden="1" customHeight="1" thickBot="1">
      <c r="B126" s="644">
        <v>3113</v>
      </c>
      <c r="C126" s="645" t="s">
        <v>398</v>
      </c>
      <c r="D126" s="645" t="s">
        <v>178</v>
      </c>
      <c r="E126" s="759" t="s">
        <v>1011</v>
      </c>
      <c r="F126" s="646">
        <v>0</v>
      </c>
      <c r="G126" s="646">
        <v>10</v>
      </c>
      <c r="H126" s="646">
        <v>0</v>
      </c>
      <c r="I126" s="1457">
        <v>0</v>
      </c>
    </row>
    <row r="127" spans="2:9" ht="15.75" hidden="1" customHeight="1" thickBot="1">
      <c r="B127" s="644">
        <v>3113</v>
      </c>
      <c r="C127" s="645" t="s">
        <v>398</v>
      </c>
      <c r="D127" s="645" t="s">
        <v>964</v>
      </c>
      <c r="E127" s="759" t="s">
        <v>1012</v>
      </c>
      <c r="F127" s="646">
        <v>0</v>
      </c>
      <c r="G127" s="646">
        <f>10+10</f>
        <v>20</v>
      </c>
      <c r="H127" s="646">
        <v>0</v>
      </c>
      <c r="I127" s="1457">
        <v>0</v>
      </c>
    </row>
    <row r="128" spans="2:9" ht="15.75" hidden="1" customHeight="1" thickBot="1">
      <c r="B128" s="644">
        <v>3113</v>
      </c>
      <c r="C128" s="645" t="s">
        <v>398</v>
      </c>
      <c r="D128" s="645" t="s">
        <v>906</v>
      </c>
      <c r="E128" s="759" t="s">
        <v>1013</v>
      </c>
      <c r="F128" s="646">
        <v>0</v>
      </c>
      <c r="G128" s="646">
        <f>10</f>
        <v>10</v>
      </c>
      <c r="H128" s="646">
        <v>0</v>
      </c>
      <c r="I128" s="1457">
        <v>0</v>
      </c>
    </row>
    <row r="129" spans="1:21" ht="15.75" hidden="1" customHeight="1" thickBot="1">
      <c r="B129" s="644">
        <v>3121</v>
      </c>
      <c r="C129" s="645" t="s">
        <v>486</v>
      </c>
      <c r="D129" s="645" t="s">
        <v>995</v>
      </c>
      <c r="E129" s="759" t="s">
        <v>1014</v>
      </c>
      <c r="F129" s="646">
        <v>0</v>
      </c>
      <c r="G129" s="646">
        <v>25</v>
      </c>
      <c r="H129" s="646">
        <v>0</v>
      </c>
      <c r="I129" s="1457">
        <v>0</v>
      </c>
    </row>
    <row r="130" spans="1:21" ht="15.75" hidden="1" customHeight="1" thickBot="1">
      <c r="B130" s="644">
        <v>3419</v>
      </c>
      <c r="C130" s="645" t="s">
        <v>486</v>
      </c>
      <c r="D130" s="645" t="s">
        <v>995</v>
      </c>
      <c r="E130" s="759" t="s">
        <v>1015</v>
      </c>
      <c r="F130" s="646">
        <v>0</v>
      </c>
      <c r="G130" s="646">
        <v>0</v>
      </c>
      <c r="H130" s="646"/>
      <c r="I130" s="1457"/>
    </row>
    <row r="131" spans="1:21" ht="15.75" hidden="1" customHeight="1" thickBot="1">
      <c r="B131" s="644">
        <v>3419</v>
      </c>
      <c r="C131" s="645" t="s">
        <v>486</v>
      </c>
      <c r="D131" s="645" t="s">
        <v>995</v>
      </c>
      <c r="E131" s="759" t="s">
        <v>1016</v>
      </c>
      <c r="F131" s="646">
        <v>0</v>
      </c>
      <c r="G131" s="646">
        <v>40</v>
      </c>
      <c r="H131" s="646">
        <v>0</v>
      </c>
      <c r="I131" s="1457">
        <v>0</v>
      </c>
    </row>
    <row r="132" spans="1:21" ht="15.75" customHeight="1" thickBot="1">
      <c r="B132" s="647">
        <v>3419</v>
      </c>
      <c r="C132" s="648">
        <v>5901</v>
      </c>
      <c r="D132" s="648">
        <v>2614</v>
      </c>
      <c r="E132" s="760" t="s">
        <v>1017</v>
      </c>
      <c r="F132" s="649">
        <v>5805</v>
      </c>
      <c r="G132" s="649">
        <f>5805+1670-753-4600-15-70+7500-3352+176-119-4235</f>
        <v>2007</v>
      </c>
      <c r="H132" s="649">
        <v>4940</v>
      </c>
      <c r="I132" s="1458">
        <f>4940+1487</f>
        <v>6427</v>
      </c>
      <c r="J132" s="1722"/>
      <c r="K132" s="607"/>
      <c r="L132" s="607"/>
      <c r="M132" s="607"/>
      <c r="N132" s="607"/>
      <c r="O132" s="607"/>
      <c r="P132" s="607"/>
      <c r="Q132" s="607"/>
      <c r="R132" s="607"/>
      <c r="S132" s="607"/>
      <c r="T132" s="607"/>
      <c r="U132" s="607"/>
    </row>
    <row r="133" spans="1:21" ht="15.75" customHeight="1" thickBot="1">
      <c r="B133" s="2002" t="s">
        <v>1017</v>
      </c>
      <c r="C133" s="2003"/>
      <c r="D133" s="2003"/>
      <c r="E133" s="2004"/>
      <c r="F133" s="650">
        <f>SUM(F113:F132)</f>
        <v>5805</v>
      </c>
      <c r="G133" s="650">
        <f>SUM(G113:G132)</f>
        <v>13635</v>
      </c>
      <c r="H133" s="650">
        <f>SUM(H113:H132)</f>
        <v>4940</v>
      </c>
      <c r="I133" s="1459">
        <f>SUM(I113:I132)</f>
        <v>6427</v>
      </c>
    </row>
    <row r="134" spans="1:21" ht="15.75" customHeight="1" thickBot="1">
      <c r="B134" s="651">
        <v>3412</v>
      </c>
      <c r="C134" s="652">
        <v>5213</v>
      </c>
      <c r="D134" s="652">
        <v>4031</v>
      </c>
      <c r="E134" s="761" t="s">
        <v>1018</v>
      </c>
      <c r="F134" s="653">
        <v>17500</v>
      </c>
      <c r="G134" s="653">
        <f>17500+1400+700</f>
        <v>19600</v>
      </c>
      <c r="H134" s="653">
        <f>18800+7500</f>
        <v>26300</v>
      </c>
      <c r="I134" s="1460">
        <f>18800+7500</f>
        <v>26300</v>
      </c>
    </row>
    <row r="135" spans="1:21" ht="15.75" customHeight="1" thickBot="1">
      <c r="B135" s="651">
        <v>3412</v>
      </c>
      <c r="C135" s="652" t="s">
        <v>152</v>
      </c>
      <c r="D135" s="652" t="s">
        <v>1019</v>
      </c>
      <c r="E135" s="761" t="s">
        <v>1020</v>
      </c>
      <c r="F135" s="653">
        <v>700</v>
      </c>
      <c r="G135" s="653">
        <f>700-700</f>
        <v>0</v>
      </c>
      <c r="H135" s="653">
        <v>0</v>
      </c>
      <c r="I135" s="1460">
        <v>0</v>
      </c>
    </row>
    <row r="136" spans="1:21" ht="15.75" customHeight="1" thickBot="1">
      <c r="B136" s="654">
        <v>3419</v>
      </c>
      <c r="C136" s="655">
        <v>5169</v>
      </c>
      <c r="D136" s="655">
        <v>2614</v>
      </c>
      <c r="E136" s="762" t="s">
        <v>1021</v>
      </c>
      <c r="F136" s="656">
        <v>100</v>
      </c>
      <c r="G136" s="713">
        <v>86</v>
      </c>
      <c r="H136" s="713">
        <v>100</v>
      </c>
      <c r="I136" s="1451">
        <v>100</v>
      </c>
    </row>
    <row r="137" spans="1:21" ht="15.75" hidden="1" customHeight="1" thickBot="1">
      <c r="B137" s="654">
        <v>3419</v>
      </c>
      <c r="C137" s="655" t="s">
        <v>1022</v>
      </c>
      <c r="D137" s="655">
        <v>2614</v>
      </c>
      <c r="E137" s="762" t="s">
        <v>1023</v>
      </c>
      <c r="F137" s="656">
        <v>0</v>
      </c>
      <c r="G137" s="713">
        <v>14</v>
      </c>
      <c r="H137" s="713">
        <v>0</v>
      </c>
      <c r="I137" s="1451">
        <v>0</v>
      </c>
    </row>
    <row r="138" spans="1:21" ht="15.75" customHeight="1" thickBot="1">
      <c r="B138" s="2005" t="s">
        <v>1024</v>
      </c>
      <c r="C138" s="2006"/>
      <c r="D138" s="2006"/>
      <c r="E138" s="2007"/>
      <c r="F138" s="657">
        <f>SUM(F136:F137)</f>
        <v>100</v>
      </c>
      <c r="G138" s="657">
        <f>SUM(G136:G137)</f>
        <v>100</v>
      </c>
      <c r="H138" s="657">
        <f>SUM(H136:H137)</f>
        <v>100</v>
      </c>
      <c r="I138" s="1461">
        <f>SUM(I136:I137)</f>
        <v>100</v>
      </c>
    </row>
    <row r="139" spans="1:21" ht="15.75" customHeight="1" thickTop="1" thickBot="1">
      <c r="B139" s="2008" t="s">
        <v>1025</v>
      </c>
      <c r="C139" s="2009"/>
      <c r="D139" s="2009"/>
      <c r="E139" s="2009"/>
      <c r="F139" s="658">
        <f>SUM(F138,F133:F135,F112,F108)</f>
        <v>50400</v>
      </c>
      <c r="G139" s="658">
        <f>SUM(G138,G133:G135,G112,G108)</f>
        <v>61295</v>
      </c>
      <c r="H139" s="658">
        <f>H108+H112+H133+H134+H138</f>
        <v>46280</v>
      </c>
      <c r="I139" s="1462">
        <f>I108+I112+I133+I134+I138</f>
        <v>47767</v>
      </c>
    </row>
    <row r="140" spans="1:21" ht="15.75" customHeight="1" thickTop="1" thickBot="1">
      <c r="A140" s="635">
        <v>550</v>
      </c>
      <c r="B140" s="659" t="s">
        <v>176</v>
      </c>
      <c r="C140" s="660">
        <v>5331</v>
      </c>
      <c r="D140" s="660" t="s">
        <v>960</v>
      </c>
      <c r="E140" s="763" t="s">
        <v>1026</v>
      </c>
      <c r="F140" s="661">
        <v>665</v>
      </c>
      <c r="G140" s="661">
        <v>665</v>
      </c>
      <c r="H140" s="661">
        <v>672</v>
      </c>
      <c r="I140" s="1416">
        <v>672</v>
      </c>
      <c r="K140" s="174"/>
      <c r="L140" s="174"/>
    </row>
    <row r="141" spans="1:21" ht="15.75" customHeight="1" thickBot="1">
      <c r="A141" s="635">
        <v>554</v>
      </c>
      <c r="B141" s="1319" t="s">
        <v>176</v>
      </c>
      <c r="C141" s="218">
        <v>5331</v>
      </c>
      <c r="D141" s="1320" t="s">
        <v>904</v>
      </c>
      <c r="E141" s="764" t="s">
        <v>1027</v>
      </c>
      <c r="F141" s="493">
        <v>3755</v>
      </c>
      <c r="G141" s="493">
        <v>3755</v>
      </c>
      <c r="H141" s="493">
        <v>3567</v>
      </c>
      <c r="I141" s="1354">
        <v>3567</v>
      </c>
    </row>
    <row r="142" spans="1:21" ht="15.75" hidden="1" customHeight="1" thickBot="1">
      <c r="A142" s="635">
        <v>555</v>
      </c>
      <c r="B142" s="1319" t="s">
        <v>176</v>
      </c>
      <c r="C142" s="218" t="s">
        <v>891</v>
      </c>
      <c r="D142" s="1320" t="s">
        <v>904</v>
      </c>
      <c r="E142" s="764" t="s">
        <v>1028</v>
      </c>
      <c r="F142" s="493">
        <v>0</v>
      </c>
      <c r="G142" s="493">
        <f>75.89406+8+20+40+52.32+303.88658</f>
        <v>500.10064</v>
      </c>
      <c r="H142" s="493">
        <v>0</v>
      </c>
      <c r="I142" s="1354">
        <v>0</v>
      </c>
    </row>
    <row r="143" spans="1:21" ht="15.75" customHeight="1" thickBot="1">
      <c r="A143" s="635">
        <v>558</v>
      </c>
      <c r="B143" s="1319" t="s">
        <v>176</v>
      </c>
      <c r="C143" s="218">
        <v>5331</v>
      </c>
      <c r="D143" s="1320" t="s">
        <v>1029</v>
      </c>
      <c r="E143" s="764" t="s">
        <v>1030</v>
      </c>
      <c r="F143" s="643">
        <v>2550</v>
      </c>
      <c r="G143" s="643">
        <v>2550</v>
      </c>
      <c r="H143" s="643">
        <v>2290</v>
      </c>
      <c r="I143" s="1455">
        <v>2290</v>
      </c>
    </row>
    <row r="144" spans="1:21" ht="15.75" hidden="1" customHeight="1" thickBot="1">
      <c r="A144" s="635">
        <v>5583</v>
      </c>
      <c r="B144" s="1319">
        <v>3113</v>
      </c>
      <c r="C144" s="218" t="s">
        <v>891</v>
      </c>
      <c r="D144" s="1320" t="s">
        <v>1029</v>
      </c>
      <c r="E144" s="764" t="s">
        <v>1031</v>
      </c>
      <c r="F144" s="643">
        <v>0</v>
      </c>
      <c r="G144" s="643">
        <f>87.53944+120.43265+30.698</f>
        <v>238.67008999999999</v>
      </c>
      <c r="H144" s="643">
        <v>0</v>
      </c>
      <c r="I144" s="1455">
        <v>0</v>
      </c>
    </row>
    <row r="145" spans="1:9" ht="15.75" customHeight="1" thickBot="1">
      <c r="A145" s="635">
        <v>562</v>
      </c>
      <c r="B145" s="651" t="s">
        <v>176</v>
      </c>
      <c r="C145" s="652">
        <v>5331</v>
      </c>
      <c r="D145" s="652" t="s">
        <v>1032</v>
      </c>
      <c r="E145" s="761" t="s">
        <v>1033</v>
      </c>
      <c r="F145" s="662">
        <v>3149</v>
      </c>
      <c r="G145" s="662">
        <v>3149</v>
      </c>
      <c r="H145" s="662">
        <v>2900</v>
      </c>
      <c r="I145" s="1455">
        <v>2900</v>
      </c>
    </row>
    <row r="146" spans="1:9" ht="15.75" hidden="1" customHeight="1" thickBot="1">
      <c r="A146" s="635">
        <v>5621</v>
      </c>
      <c r="B146" s="651" t="s">
        <v>176</v>
      </c>
      <c r="C146" s="652" t="s">
        <v>891</v>
      </c>
      <c r="D146" s="652" t="s">
        <v>1032</v>
      </c>
      <c r="E146" s="761" t="s">
        <v>1034</v>
      </c>
      <c r="F146" s="662">
        <v>0</v>
      </c>
      <c r="G146" s="662">
        <f>640.83634+246.66285</f>
        <v>887.49919</v>
      </c>
      <c r="H146" s="662">
        <v>0</v>
      </c>
      <c r="I146" s="1419">
        <v>0</v>
      </c>
    </row>
    <row r="147" spans="1:9" ht="15.75" customHeight="1" thickBot="1">
      <c r="A147" s="635">
        <v>566</v>
      </c>
      <c r="B147" s="651" t="s">
        <v>176</v>
      </c>
      <c r="C147" s="652">
        <v>5331</v>
      </c>
      <c r="D147" s="652" t="s">
        <v>1009</v>
      </c>
      <c r="E147" s="761" t="s">
        <v>1035</v>
      </c>
      <c r="F147" s="662">
        <v>4000</v>
      </c>
      <c r="G147" s="662">
        <v>4000</v>
      </c>
      <c r="H147" s="662">
        <v>3800</v>
      </c>
      <c r="I147" s="1419">
        <v>3800</v>
      </c>
    </row>
    <row r="148" spans="1:9" ht="15.75" customHeight="1" thickBot="1">
      <c r="A148" s="635">
        <v>570</v>
      </c>
      <c r="B148" s="651" t="s">
        <v>176</v>
      </c>
      <c r="C148" s="652">
        <v>5331</v>
      </c>
      <c r="D148" s="652" t="s">
        <v>178</v>
      </c>
      <c r="E148" s="761" t="s">
        <v>1036</v>
      </c>
      <c r="F148" s="662">
        <v>4685</v>
      </c>
      <c r="G148" s="662">
        <v>4685</v>
      </c>
      <c r="H148" s="662">
        <v>4450</v>
      </c>
      <c r="I148" s="1419">
        <v>4450</v>
      </c>
    </row>
    <row r="149" spans="1:9" ht="15.75" hidden="1" customHeight="1" thickBot="1">
      <c r="A149" s="635">
        <v>5701</v>
      </c>
      <c r="B149" s="651" t="s">
        <v>176</v>
      </c>
      <c r="C149" s="652" t="s">
        <v>891</v>
      </c>
      <c r="D149" s="652" t="s">
        <v>178</v>
      </c>
      <c r="E149" s="761" t="s">
        <v>1037</v>
      </c>
      <c r="F149" s="662">
        <v>0</v>
      </c>
      <c r="G149" s="662">
        <f>26.11602+569.661</f>
        <v>595.77701999999999</v>
      </c>
      <c r="H149" s="662">
        <v>0</v>
      </c>
      <c r="I149" s="1419">
        <v>0</v>
      </c>
    </row>
    <row r="150" spans="1:9" ht="15.75" customHeight="1" thickBot="1">
      <c r="A150" s="635">
        <v>574</v>
      </c>
      <c r="B150" s="1319" t="s">
        <v>176</v>
      </c>
      <c r="C150" s="218">
        <v>5331</v>
      </c>
      <c r="D150" s="1320" t="s">
        <v>962</v>
      </c>
      <c r="E150" s="764" t="s">
        <v>1038</v>
      </c>
      <c r="F150" s="493">
        <v>4100</v>
      </c>
      <c r="G150" s="493">
        <v>4100</v>
      </c>
      <c r="H150" s="493">
        <v>4000</v>
      </c>
      <c r="I150" s="1354">
        <v>4000</v>
      </c>
    </row>
    <row r="151" spans="1:9" ht="15.75" hidden="1" customHeight="1" thickBot="1">
      <c r="A151" s="635">
        <v>5742</v>
      </c>
      <c r="B151" s="1319" t="s">
        <v>176</v>
      </c>
      <c r="C151" s="218" t="s">
        <v>398</v>
      </c>
      <c r="D151" s="1320" t="s">
        <v>962</v>
      </c>
      <c r="E151" s="764" t="s">
        <v>1039</v>
      </c>
      <c r="F151" s="493">
        <v>0</v>
      </c>
      <c r="G151" s="493">
        <v>6</v>
      </c>
      <c r="H151" s="493">
        <v>0</v>
      </c>
      <c r="I151" s="1354">
        <v>0</v>
      </c>
    </row>
    <row r="152" spans="1:9" ht="15.75" customHeight="1" thickBot="1">
      <c r="A152" s="635">
        <v>578</v>
      </c>
      <c r="B152" s="1319" t="s">
        <v>176</v>
      </c>
      <c r="C152" s="218">
        <v>5331</v>
      </c>
      <c r="D152" s="1320" t="s">
        <v>964</v>
      </c>
      <c r="E152" s="764" t="s">
        <v>1040</v>
      </c>
      <c r="F152" s="493">
        <v>4895</v>
      </c>
      <c r="G152" s="493">
        <v>4895</v>
      </c>
      <c r="H152" s="493">
        <v>4800</v>
      </c>
      <c r="I152" s="1354">
        <v>4800</v>
      </c>
    </row>
    <row r="153" spans="1:9" ht="15.75" hidden="1" customHeight="1" thickBot="1">
      <c r="A153" s="635">
        <v>5781</v>
      </c>
      <c r="B153" s="1319" t="s">
        <v>176</v>
      </c>
      <c r="C153" s="218" t="s">
        <v>398</v>
      </c>
      <c r="D153" s="1320" t="s">
        <v>964</v>
      </c>
      <c r="E153" s="764" t="s">
        <v>1041</v>
      </c>
      <c r="F153" s="493">
        <v>0</v>
      </c>
      <c r="G153" s="493">
        <v>3.5</v>
      </c>
      <c r="H153" s="493">
        <v>0</v>
      </c>
      <c r="I153" s="1354">
        <v>0</v>
      </c>
    </row>
    <row r="154" spans="1:9" ht="15.75" customHeight="1" thickBot="1">
      <c r="A154" s="635">
        <v>582</v>
      </c>
      <c r="B154" s="651" t="s">
        <v>176</v>
      </c>
      <c r="C154" s="652">
        <v>5331</v>
      </c>
      <c r="D154" s="652" t="s">
        <v>1042</v>
      </c>
      <c r="E154" s="761" t="s">
        <v>1043</v>
      </c>
      <c r="F154" s="653">
        <v>6600</v>
      </c>
      <c r="G154" s="653">
        <v>6600</v>
      </c>
      <c r="H154" s="653">
        <v>6400</v>
      </c>
      <c r="I154" s="1460">
        <v>6400</v>
      </c>
    </row>
    <row r="155" spans="1:9" ht="15.75" hidden="1" customHeight="1" thickBot="1">
      <c r="A155" s="635">
        <v>5821</v>
      </c>
      <c r="B155" s="651" t="s">
        <v>176</v>
      </c>
      <c r="C155" s="652" t="s">
        <v>891</v>
      </c>
      <c r="D155" s="652" t="s">
        <v>1042</v>
      </c>
      <c r="E155" s="761" t="s">
        <v>1044</v>
      </c>
      <c r="F155" s="653">
        <v>0</v>
      </c>
      <c r="G155" s="653">
        <f>319.76252+3+309.88808</f>
        <v>632.65059999999994</v>
      </c>
      <c r="H155" s="653">
        <v>0</v>
      </c>
      <c r="I155" s="1460">
        <v>0</v>
      </c>
    </row>
    <row r="156" spans="1:9" ht="15.75" hidden="1" customHeight="1" thickBot="1">
      <c r="B156" s="651" t="s">
        <v>176</v>
      </c>
      <c r="C156" s="652" t="s">
        <v>891</v>
      </c>
      <c r="D156" s="652" t="s">
        <v>1042</v>
      </c>
      <c r="E156" s="761" t="s">
        <v>1045</v>
      </c>
      <c r="F156" s="653">
        <v>0</v>
      </c>
      <c r="G156" s="653">
        <v>95.825699999999998</v>
      </c>
      <c r="H156" s="653">
        <v>0</v>
      </c>
      <c r="I156" s="1460">
        <v>0</v>
      </c>
    </row>
    <row r="157" spans="1:9" ht="15.75" customHeight="1" thickBot="1">
      <c r="A157" s="635">
        <v>586</v>
      </c>
      <c r="B157" s="651" t="s">
        <v>176</v>
      </c>
      <c r="C157" s="652">
        <v>5331</v>
      </c>
      <c r="D157" s="652" t="s">
        <v>906</v>
      </c>
      <c r="E157" s="761" t="s">
        <v>1046</v>
      </c>
      <c r="F157" s="662">
        <v>4995</v>
      </c>
      <c r="G157" s="662">
        <v>4995</v>
      </c>
      <c r="H157" s="662">
        <v>4880</v>
      </c>
      <c r="I157" s="1419">
        <v>4880</v>
      </c>
    </row>
    <row r="158" spans="1:9" ht="15.75" hidden="1" customHeight="1" thickBot="1">
      <c r="A158" s="635">
        <v>5861</v>
      </c>
      <c r="B158" s="651" t="s">
        <v>176</v>
      </c>
      <c r="C158" s="652">
        <v>5331</v>
      </c>
      <c r="D158" s="652" t="s">
        <v>906</v>
      </c>
      <c r="E158" s="761" t="s">
        <v>1047</v>
      </c>
      <c r="F158" s="662">
        <v>0</v>
      </c>
      <c r="G158" s="662">
        <v>2.5</v>
      </c>
      <c r="H158" s="662">
        <v>0</v>
      </c>
      <c r="I158" s="1419">
        <v>0</v>
      </c>
    </row>
    <row r="159" spans="1:9" ht="15.75" customHeight="1" thickBot="1">
      <c r="A159" s="635">
        <v>590</v>
      </c>
      <c r="B159" s="651" t="s">
        <v>180</v>
      </c>
      <c r="C159" s="652">
        <v>5331</v>
      </c>
      <c r="D159" s="652" t="s">
        <v>181</v>
      </c>
      <c r="E159" s="761" t="s">
        <v>1048</v>
      </c>
      <c r="F159" s="662">
        <v>6208</v>
      </c>
      <c r="G159" s="662">
        <v>6208</v>
      </c>
      <c r="H159" s="662">
        <v>5970</v>
      </c>
      <c r="I159" s="1419">
        <v>5970</v>
      </c>
    </row>
    <row r="160" spans="1:9" ht="15.75" customHeight="1" thickBot="1">
      <c r="A160" s="635">
        <v>594</v>
      </c>
      <c r="B160" s="663" t="s">
        <v>180</v>
      </c>
      <c r="C160" s="664">
        <v>5331</v>
      </c>
      <c r="D160" s="664" t="s">
        <v>958</v>
      </c>
      <c r="E160" s="765" t="s">
        <v>1049</v>
      </c>
      <c r="F160" s="665">
        <v>7190</v>
      </c>
      <c r="G160" s="665">
        <v>7190</v>
      </c>
      <c r="H160" s="665">
        <v>6830</v>
      </c>
      <c r="I160" s="1463">
        <v>6830</v>
      </c>
    </row>
    <row r="161" spans="1:10" ht="15.75" customHeight="1" thickBot="1">
      <c r="A161" s="635">
        <v>595</v>
      </c>
      <c r="B161" s="666">
        <v>3119</v>
      </c>
      <c r="C161" s="667" t="s">
        <v>474</v>
      </c>
      <c r="D161" s="667" t="s">
        <v>1050</v>
      </c>
      <c r="E161" s="766" t="s">
        <v>1051</v>
      </c>
      <c r="F161" s="668">
        <v>200</v>
      </c>
      <c r="G161" s="668">
        <v>200</v>
      </c>
      <c r="H161" s="668">
        <v>10</v>
      </c>
      <c r="I161" s="1413">
        <v>10</v>
      </c>
    </row>
    <row r="162" spans="1:10" s="674" customFormat="1" ht="6" customHeight="1" thickTop="1" thickBot="1">
      <c r="A162" s="669"/>
      <c r="B162" s="670"/>
      <c r="C162" s="671"/>
      <c r="D162" s="672"/>
      <c r="E162" s="767"/>
      <c r="F162" s="673"/>
      <c r="G162" s="673"/>
      <c r="H162" s="673"/>
      <c r="I162" s="673"/>
      <c r="J162" s="967"/>
    </row>
    <row r="163" spans="1:10" s="674" customFormat="1" ht="15.75" customHeight="1" thickTop="1" thickBot="1">
      <c r="A163" s="669"/>
      <c r="B163" s="16"/>
      <c r="C163" s="16"/>
      <c r="D163" s="16"/>
      <c r="E163" s="768" t="s">
        <v>30</v>
      </c>
      <c r="F163" s="120">
        <f>SUM(F15:F15,F19,F22,F33:F46,F67,F78,F92,F139,F140:F161)</f>
        <v>169481</v>
      </c>
      <c r="G163" s="120">
        <f>SUM(G15:G15,G19,G22,G33:G46,G67,G78,G92,G139,G140:G161)</f>
        <v>187000.26735999997</v>
      </c>
      <c r="H163" s="120">
        <f>SUM(H15:H15,H19,H22,H33:H46,H67,H78,H92,H139,H140:H161)</f>
        <v>154178</v>
      </c>
      <c r="I163" s="121">
        <f>SUM(I15:I15,I19,I22,I33:I46,I67,I78,I92,I139,I140:I161)</f>
        <v>157729.5</v>
      </c>
      <c r="J163" s="967"/>
    </row>
    <row r="164" spans="1:10" s="674" customFormat="1" ht="15.75" customHeight="1" thickTop="1">
      <c r="A164" s="669"/>
      <c r="B164" s="16"/>
      <c r="C164" s="16"/>
      <c r="D164" s="16"/>
      <c r="E164" s="769"/>
      <c r="F164" s="293"/>
      <c r="G164" s="293"/>
      <c r="H164" s="293"/>
      <c r="I164" s="293"/>
      <c r="J164" s="967"/>
    </row>
    <row r="165" spans="1:10" s="674" customFormat="1" ht="15.75" customHeight="1">
      <c r="A165" s="669"/>
      <c r="B165" s="16"/>
      <c r="C165" s="16"/>
      <c r="D165" s="16"/>
      <c r="E165" s="769"/>
      <c r="F165" s="293"/>
      <c r="G165" s="293"/>
      <c r="H165" s="293"/>
      <c r="I165" s="293"/>
      <c r="J165" s="967"/>
    </row>
    <row r="166" spans="1:10" s="674" customFormat="1" ht="15.75" customHeight="1">
      <c r="A166" s="669"/>
      <c r="B166" s="675"/>
      <c r="C166" s="675"/>
      <c r="D166" s="675"/>
      <c r="E166" s="770"/>
      <c r="F166" s="673"/>
      <c r="G166" s="673"/>
      <c r="H166" s="673"/>
      <c r="I166" s="673"/>
      <c r="J166" s="967"/>
    </row>
    <row r="167" spans="1:10" s="674" customFormat="1" ht="15.75" customHeight="1" thickBot="1">
      <c r="A167" s="669"/>
      <c r="B167" s="670"/>
      <c r="C167" s="671"/>
      <c r="D167" s="672"/>
      <c r="E167" s="767"/>
      <c r="F167" s="673"/>
      <c r="G167" s="673"/>
      <c r="H167" s="673"/>
      <c r="I167" s="673"/>
      <c r="J167" s="967"/>
    </row>
    <row r="168" spans="1:10" s="607" customFormat="1" ht="15.75" customHeight="1" thickTop="1">
      <c r="A168" s="610"/>
      <c r="B168" s="41"/>
      <c r="C168" s="40"/>
      <c r="D168" s="39"/>
      <c r="E168" s="742"/>
      <c r="F168" s="1965" t="s">
        <v>44</v>
      </c>
      <c r="G168" s="1965" t="s">
        <v>43</v>
      </c>
      <c r="H168" s="1962" t="s">
        <v>1487</v>
      </c>
      <c r="I168" s="1971" t="s">
        <v>1488</v>
      </c>
      <c r="J168" s="968"/>
    </row>
    <row r="169" spans="1:10" s="607" customFormat="1" ht="15.75" customHeight="1">
      <c r="A169" s="609" t="s">
        <v>120</v>
      </c>
      <c r="B169" s="36" t="s">
        <v>877</v>
      </c>
      <c r="C169" s="35" t="s">
        <v>878</v>
      </c>
      <c r="D169" s="34" t="s">
        <v>879</v>
      </c>
      <c r="E169" s="743"/>
      <c r="F169" s="1966"/>
      <c r="G169" s="1966"/>
      <c r="H169" s="1963"/>
      <c r="I169" s="1972"/>
      <c r="J169" s="968"/>
    </row>
    <row r="170" spans="1:10" s="607" customFormat="1" ht="15.75" customHeight="1" thickBot="1">
      <c r="A170" s="609"/>
      <c r="B170" s="31"/>
      <c r="C170" s="30"/>
      <c r="D170" s="29"/>
      <c r="E170" s="744"/>
      <c r="F170" s="1967"/>
      <c r="G170" s="1967"/>
      <c r="H170" s="1964"/>
      <c r="I170" s="1973"/>
      <c r="J170" s="968"/>
    </row>
    <row r="171" spans="1:10" s="607" customFormat="1" ht="15.75" customHeight="1" thickTop="1" thickBot="1">
      <c r="A171" s="610"/>
      <c r="B171" s="1825" t="s">
        <v>1201</v>
      </c>
      <c r="C171" s="1826" t="s">
        <v>1189</v>
      </c>
      <c r="D171" s="1827" t="s">
        <v>1445</v>
      </c>
      <c r="E171" s="1863" t="s">
        <v>1535</v>
      </c>
      <c r="F171" s="1828">
        <v>0</v>
      </c>
      <c r="G171" s="1828">
        <v>800</v>
      </c>
      <c r="H171" s="1828">
        <v>4300</v>
      </c>
      <c r="I171" s="1829">
        <v>4300</v>
      </c>
      <c r="J171" s="968"/>
    </row>
    <row r="172" spans="1:10" ht="15.75" hidden="1" customHeight="1" thickBot="1">
      <c r="B172" s="872" t="s">
        <v>176</v>
      </c>
      <c r="C172" s="873" t="s">
        <v>443</v>
      </c>
      <c r="D172" s="873" t="s">
        <v>1029</v>
      </c>
      <c r="E172" s="1729" t="s">
        <v>1053</v>
      </c>
      <c r="F172" s="95">
        <v>0</v>
      </c>
      <c r="G172" s="95">
        <v>201.59200000000001</v>
      </c>
      <c r="H172" s="95">
        <v>0</v>
      </c>
      <c r="I172" s="1466">
        <v>0</v>
      </c>
    </row>
    <row r="173" spans="1:10" ht="6" customHeight="1" thickTop="1" thickBot="1">
      <c r="B173" s="172"/>
      <c r="C173" s="172"/>
      <c r="D173" s="172"/>
    </row>
    <row r="174" spans="1:10" ht="15.75" customHeight="1" thickTop="1" thickBot="1">
      <c r="B174" s="16"/>
      <c r="C174" s="16"/>
      <c r="D174" s="16"/>
      <c r="E174" s="768" t="s">
        <v>32</v>
      </c>
      <c r="F174" s="120">
        <f>SUM(F171:F172)</f>
        <v>0</v>
      </c>
      <c r="G174" s="120">
        <f>SUM(G171:G172)</f>
        <v>1001.592</v>
      </c>
      <c r="H174" s="120">
        <f>SUM(H171:H172)</f>
        <v>4300</v>
      </c>
      <c r="I174" s="121">
        <f>SUM(I171:I172)</f>
        <v>4300</v>
      </c>
    </row>
    <row r="175" spans="1:10" ht="8.25" customHeight="1" thickTop="1" thickBot="1">
      <c r="B175" s="172"/>
      <c r="C175" s="172"/>
      <c r="D175" s="172"/>
    </row>
    <row r="176" spans="1:10" s="607" customFormat="1" ht="15.75" customHeight="1" thickTop="1" thickBot="1">
      <c r="A176" s="604"/>
      <c r="B176" s="9"/>
      <c r="C176" s="8"/>
      <c r="D176" s="8"/>
      <c r="E176" s="772" t="s">
        <v>1054</v>
      </c>
      <c r="F176" s="153">
        <f>SUM(F163,F174)</f>
        <v>169481</v>
      </c>
      <c r="G176" s="153">
        <f>SUM(G163,G174)</f>
        <v>188001.85935999997</v>
      </c>
      <c r="H176" s="153">
        <f>SUM(H163,H174)</f>
        <v>158478</v>
      </c>
      <c r="I176" s="154">
        <f>SUM(I163,I174)</f>
        <v>162029.5</v>
      </c>
      <c r="J176" s="968"/>
    </row>
    <row r="177" spans="1:10" ht="15.75" customHeight="1" thickTop="1">
      <c r="B177" s="172"/>
      <c r="C177" s="172"/>
      <c r="D177" s="172"/>
      <c r="F177" s="676"/>
      <c r="G177" s="676"/>
      <c r="H177" s="676"/>
      <c r="I177" s="676"/>
    </row>
    <row r="178" spans="1:10" ht="15.75" customHeight="1">
      <c r="B178" s="172"/>
      <c r="C178" s="172"/>
      <c r="D178" s="172"/>
    </row>
    <row r="179" spans="1:10" ht="15.75" customHeight="1">
      <c r="B179" s="172"/>
      <c r="C179" s="172"/>
      <c r="D179" s="172"/>
    </row>
    <row r="180" spans="1:10" ht="15.75" customHeight="1">
      <c r="B180" s="172"/>
      <c r="C180" s="172"/>
      <c r="D180" s="172"/>
    </row>
    <row r="181" spans="1:10" ht="15.75" customHeight="1">
      <c r="B181" s="172"/>
      <c r="C181" s="172"/>
      <c r="D181" s="172"/>
    </row>
    <row r="182" spans="1:10" ht="15.75" customHeight="1">
      <c r="B182" s="172"/>
      <c r="C182" s="172"/>
      <c r="D182" s="172"/>
    </row>
    <row r="183" spans="1:10" ht="15.75" customHeight="1">
      <c r="B183" s="172"/>
      <c r="C183" s="172"/>
      <c r="D183" s="172"/>
    </row>
    <row r="184" spans="1:10" ht="15.75" customHeight="1">
      <c r="B184" s="172"/>
      <c r="C184" s="172"/>
      <c r="D184" s="172"/>
    </row>
    <row r="185" spans="1:10" s="174" customFormat="1" ht="15.75" customHeight="1">
      <c r="A185" s="635"/>
      <c r="B185" s="172"/>
      <c r="C185" s="172"/>
      <c r="D185" s="172"/>
      <c r="E185" s="771"/>
      <c r="J185" s="969"/>
    </row>
    <row r="186" spans="1:10" s="174" customFormat="1" ht="15.75" customHeight="1">
      <c r="A186" s="635"/>
      <c r="B186" s="172"/>
      <c r="C186" s="172"/>
      <c r="D186" s="172"/>
      <c r="E186" s="771"/>
      <c r="J186" s="969"/>
    </row>
    <row r="187" spans="1:10" s="174" customFormat="1" ht="15.75" customHeight="1">
      <c r="A187" s="635"/>
      <c r="B187" s="172"/>
      <c r="C187" s="172"/>
      <c r="D187" s="172"/>
      <c r="E187" s="771"/>
      <c r="J187" s="969"/>
    </row>
    <row r="188" spans="1:10" s="174" customFormat="1" ht="15.75" customHeight="1">
      <c r="A188" s="635"/>
      <c r="B188" s="172"/>
      <c r="C188" s="172"/>
      <c r="D188" s="172"/>
      <c r="E188" s="771"/>
      <c r="J188" s="969"/>
    </row>
    <row r="189" spans="1:10" s="174" customFormat="1" ht="15.75" customHeight="1">
      <c r="A189" s="635"/>
      <c r="B189" s="172"/>
      <c r="C189" s="172"/>
      <c r="D189" s="172"/>
      <c r="E189" s="771"/>
      <c r="J189" s="969"/>
    </row>
    <row r="190" spans="1:10" s="174" customFormat="1" ht="15.75" customHeight="1">
      <c r="A190" s="635"/>
      <c r="B190" s="172"/>
      <c r="C190" s="172"/>
      <c r="D190" s="172"/>
      <c r="E190" s="771"/>
      <c r="J190" s="969"/>
    </row>
    <row r="191" spans="1:10" s="174" customFormat="1" ht="15.75" customHeight="1">
      <c r="A191" s="635"/>
      <c r="B191" s="172"/>
      <c r="C191" s="172"/>
      <c r="D191" s="172"/>
      <c r="E191" s="771"/>
      <c r="J191" s="969"/>
    </row>
    <row r="192" spans="1:10" s="174" customFormat="1" ht="15.75" customHeight="1">
      <c r="A192" s="635"/>
      <c r="B192" s="172"/>
      <c r="C192" s="172"/>
      <c r="D192" s="172"/>
      <c r="E192" s="771"/>
      <c r="J192" s="969"/>
    </row>
    <row r="193" spans="1:10" s="174" customFormat="1" ht="15.75" customHeight="1">
      <c r="A193" s="635"/>
      <c r="B193" s="172"/>
      <c r="C193" s="172"/>
      <c r="D193" s="172"/>
      <c r="E193" s="771"/>
      <c r="J193" s="969"/>
    </row>
    <row r="194" spans="1:10" s="174" customFormat="1" ht="15.75" customHeight="1">
      <c r="A194" s="635"/>
      <c r="B194" s="172"/>
      <c r="C194" s="172"/>
      <c r="D194" s="172"/>
      <c r="E194" s="771"/>
      <c r="J194" s="969"/>
    </row>
    <row r="195" spans="1:10" s="174" customFormat="1" ht="15.75" customHeight="1">
      <c r="A195" s="635"/>
      <c r="B195" s="172"/>
      <c r="C195" s="172"/>
      <c r="D195" s="172"/>
      <c r="E195" s="771"/>
      <c r="J195" s="969"/>
    </row>
    <row r="196" spans="1:10" s="174" customFormat="1" ht="15.75" customHeight="1">
      <c r="A196" s="635"/>
      <c r="B196" s="172"/>
      <c r="C196" s="172"/>
      <c r="D196" s="172"/>
      <c r="E196" s="771"/>
      <c r="J196" s="969"/>
    </row>
    <row r="197" spans="1:10" s="174" customFormat="1" ht="15.75" customHeight="1">
      <c r="A197" s="635"/>
      <c r="B197" s="172"/>
      <c r="C197" s="172"/>
      <c r="D197" s="172"/>
      <c r="E197" s="771"/>
      <c r="J197" s="969"/>
    </row>
    <row r="198" spans="1:10" s="174" customFormat="1" ht="15.75" customHeight="1">
      <c r="A198" s="635"/>
      <c r="B198" s="172"/>
      <c r="C198" s="172"/>
      <c r="D198" s="172"/>
      <c r="E198" s="771"/>
      <c r="J198" s="969"/>
    </row>
    <row r="199" spans="1:10" s="174" customFormat="1" ht="15.75" customHeight="1">
      <c r="A199" s="635"/>
      <c r="B199" s="172"/>
      <c r="C199" s="172"/>
      <c r="D199" s="172"/>
      <c r="E199" s="771"/>
      <c r="J199" s="969"/>
    </row>
    <row r="200" spans="1:10" s="174" customFormat="1" ht="15.75" customHeight="1">
      <c r="A200" s="635"/>
      <c r="B200" s="172"/>
      <c r="C200" s="172"/>
      <c r="D200" s="172"/>
      <c r="E200" s="771"/>
      <c r="J200" s="969"/>
    </row>
    <row r="201" spans="1:10" s="174" customFormat="1" ht="15.75" customHeight="1">
      <c r="A201" s="635"/>
      <c r="B201" s="172"/>
      <c r="C201" s="172"/>
      <c r="D201" s="172"/>
      <c r="E201" s="771"/>
      <c r="J201" s="969"/>
    </row>
    <row r="202" spans="1:10" s="174" customFormat="1" ht="15.75" customHeight="1">
      <c r="A202" s="635"/>
      <c r="B202" s="172"/>
      <c r="C202" s="172"/>
      <c r="D202" s="172"/>
      <c r="E202" s="771"/>
      <c r="J202" s="969"/>
    </row>
    <row r="203" spans="1:10" s="174" customFormat="1" ht="15.75" customHeight="1">
      <c r="A203" s="635"/>
      <c r="B203" s="172"/>
      <c r="C203" s="172"/>
      <c r="D203" s="172"/>
      <c r="E203" s="771"/>
      <c r="J203" s="969"/>
    </row>
    <row r="204" spans="1:10" s="174" customFormat="1" ht="15.75" customHeight="1">
      <c r="A204" s="635"/>
      <c r="B204" s="172"/>
      <c r="C204" s="172"/>
      <c r="D204" s="172"/>
      <c r="E204" s="771"/>
      <c r="J204" s="969"/>
    </row>
    <row r="205" spans="1:10" s="174" customFormat="1" ht="15.75" customHeight="1">
      <c r="A205" s="635"/>
      <c r="B205" s="172"/>
      <c r="C205" s="172"/>
      <c r="D205" s="172"/>
      <c r="E205" s="771"/>
      <c r="J205" s="969"/>
    </row>
    <row r="206" spans="1:10" s="174" customFormat="1" ht="15.75" customHeight="1">
      <c r="A206" s="635"/>
      <c r="B206" s="172"/>
      <c r="C206" s="172"/>
      <c r="D206" s="172"/>
      <c r="E206" s="771"/>
      <c r="J206" s="969"/>
    </row>
    <row r="207" spans="1:10" s="174" customFormat="1" ht="15.75" customHeight="1">
      <c r="A207" s="635"/>
      <c r="B207" s="172"/>
      <c r="C207" s="172"/>
      <c r="D207" s="172"/>
      <c r="E207" s="771"/>
      <c r="J207" s="969"/>
    </row>
    <row r="208" spans="1:10" s="174" customFormat="1" ht="15.75" customHeight="1">
      <c r="A208" s="635"/>
      <c r="B208" s="172"/>
      <c r="C208" s="172"/>
      <c r="D208" s="172"/>
      <c r="E208" s="771"/>
      <c r="J208" s="969"/>
    </row>
    <row r="209" spans="1:10" s="174" customFormat="1" ht="15.75" customHeight="1">
      <c r="A209" s="635"/>
      <c r="B209" s="172"/>
      <c r="C209" s="172"/>
      <c r="D209" s="172"/>
      <c r="E209" s="771"/>
      <c r="J209" s="969"/>
    </row>
    <row r="210" spans="1:10" s="174" customFormat="1" ht="15.75" customHeight="1">
      <c r="A210" s="635"/>
      <c r="B210" s="172"/>
      <c r="C210" s="172"/>
      <c r="D210" s="172"/>
      <c r="E210" s="771"/>
      <c r="J210" s="969"/>
    </row>
    <row r="211" spans="1:10" s="174" customFormat="1" ht="15.75" customHeight="1">
      <c r="A211" s="635"/>
      <c r="B211" s="172"/>
      <c r="C211" s="172"/>
      <c r="D211" s="172"/>
      <c r="E211" s="771"/>
      <c r="J211" s="969"/>
    </row>
    <row r="212" spans="1:10" s="174" customFormat="1" ht="15.75" customHeight="1">
      <c r="A212" s="635"/>
      <c r="B212" s="172"/>
      <c r="C212" s="172"/>
      <c r="D212" s="172"/>
      <c r="E212" s="771"/>
      <c r="J212" s="969"/>
    </row>
    <row r="213" spans="1:10" s="174" customFormat="1" ht="15.75" customHeight="1">
      <c r="A213" s="635"/>
      <c r="B213" s="172"/>
      <c r="C213" s="172"/>
      <c r="D213" s="172"/>
      <c r="E213" s="771"/>
      <c r="J213" s="969"/>
    </row>
    <row r="214" spans="1:10" s="174" customFormat="1" ht="15.75" customHeight="1">
      <c r="A214" s="635"/>
      <c r="B214" s="172"/>
      <c r="C214" s="172"/>
      <c r="D214" s="172"/>
      <c r="E214" s="771"/>
      <c r="J214" s="969"/>
    </row>
    <row r="215" spans="1:10" s="174" customFormat="1" ht="15.75" customHeight="1">
      <c r="A215" s="635"/>
      <c r="B215" s="172"/>
      <c r="C215" s="172"/>
      <c r="D215" s="172"/>
      <c r="E215" s="771"/>
      <c r="J215" s="969"/>
    </row>
    <row r="216" spans="1:10" s="174" customFormat="1" ht="15.75" customHeight="1">
      <c r="A216" s="635"/>
      <c r="B216" s="172"/>
      <c r="C216" s="172"/>
      <c r="D216" s="172"/>
      <c r="E216" s="771"/>
      <c r="J216" s="969"/>
    </row>
    <row r="217" spans="1:10" s="174" customFormat="1" ht="15.75" customHeight="1">
      <c r="A217" s="635"/>
      <c r="B217" s="172"/>
      <c r="C217" s="172"/>
      <c r="D217" s="172"/>
      <c r="E217" s="771"/>
      <c r="J217" s="969"/>
    </row>
    <row r="218" spans="1:10" s="174" customFormat="1" ht="15.75" customHeight="1">
      <c r="A218" s="635"/>
      <c r="B218" s="172"/>
      <c r="C218" s="172"/>
      <c r="D218" s="172"/>
      <c r="E218" s="771"/>
      <c r="J218" s="969"/>
    </row>
    <row r="219" spans="1:10" s="174" customFormat="1" ht="15.75" customHeight="1">
      <c r="A219" s="635"/>
      <c r="B219" s="172"/>
      <c r="C219" s="172"/>
      <c r="D219" s="172"/>
      <c r="E219" s="771"/>
      <c r="J219" s="969"/>
    </row>
    <row r="220" spans="1:10" s="174" customFormat="1" ht="15.75" customHeight="1">
      <c r="A220" s="635"/>
      <c r="B220" s="172"/>
      <c r="C220" s="172"/>
      <c r="D220" s="172"/>
      <c r="E220" s="771"/>
      <c r="J220" s="969"/>
    </row>
    <row r="221" spans="1:10" s="174" customFormat="1" ht="15.75" customHeight="1">
      <c r="A221" s="635"/>
      <c r="B221" s="172"/>
      <c r="C221" s="172"/>
      <c r="D221" s="172"/>
      <c r="E221" s="771"/>
      <c r="J221" s="969"/>
    </row>
    <row r="222" spans="1:10" s="174" customFormat="1" ht="15.75" customHeight="1">
      <c r="A222" s="635"/>
      <c r="B222" s="172"/>
      <c r="C222" s="172"/>
      <c r="D222" s="172"/>
      <c r="E222" s="771"/>
      <c r="J222" s="969"/>
    </row>
    <row r="223" spans="1:10" s="174" customFormat="1" ht="15.75" customHeight="1">
      <c r="A223" s="635"/>
      <c r="B223" s="172"/>
      <c r="C223" s="172"/>
      <c r="D223" s="172"/>
      <c r="E223" s="771"/>
      <c r="J223" s="969"/>
    </row>
    <row r="224" spans="1:10" s="174" customFormat="1" ht="15.75" customHeight="1">
      <c r="A224" s="635"/>
      <c r="B224" s="172"/>
      <c r="C224" s="172"/>
      <c r="D224" s="172"/>
      <c r="E224" s="771"/>
      <c r="J224" s="969"/>
    </row>
    <row r="225" spans="1:10" s="174" customFormat="1" ht="15.75" customHeight="1">
      <c r="A225" s="635"/>
      <c r="B225" s="172"/>
      <c r="C225" s="172"/>
      <c r="D225" s="172"/>
      <c r="E225" s="771"/>
      <c r="J225" s="969"/>
    </row>
    <row r="226" spans="1:10" s="174" customFormat="1" ht="15.75" customHeight="1">
      <c r="A226" s="635"/>
      <c r="B226" s="172"/>
      <c r="C226" s="172"/>
      <c r="D226" s="172"/>
      <c r="E226" s="771"/>
      <c r="J226" s="969"/>
    </row>
    <row r="227" spans="1:10" s="174" customFormat="1" ht="15.75" customHeight="1">
      <c r="A227" s="635"/>
      <c r="B227" s="172"/>
      <c r="C227" s="172"/>
      <c r="D227" s="172"/>
      <c r="E227" s="771"/>
      <c r="J227" s="969"/>
    </row>
    <row r="228" spans="1:10" s="174" customFormat="1" ht="15.75" customHeight="1">
      <c r="A228" s="635"/>
      <c r="B228" s="172"/>
      <c r="C228" s="172"/>
      <c r="D228" s="172"/>
      <c r="E228" s="771"/>
      <c r="J228" s="969"/>
    </row>
    <row r="229" spans="1:10" s="174" customFormat="1" ht="15.75" customHeight="1">
      <c r="A229" s="635"/>
      <c r="B229" s="172"/>
      <c r="C229" s="172"/>
      <c r="D229" s="172"/>
      <c r="E229" s="771"/>
      <c r="J229" s="969"/>
    </row>
    <row r="230" spans="1:10" s="174" customFormat="1" ht="15.75" customHeight="1">
      <c r="A230" s="635"/>
      <c r="B230" s="172"/>
      <c r="C230" s="172"/>
      <c r="D230" s="172"/>
      <c r="E230" s="771"/>
      <c r="J230" s="969"/>
    </row>
    <row r="231" spans="1:10" s="174" customFormat="1" ht="15.75" customHeight="1">
      <c r="A231" s="635"/>
      <c r="B231" s="172"/>
      <c r="C231" s="172"/>
      <c r="D231" s="172"/>
      <c r="E231" s="771"/>
      <c r="J231" s="969"/>
    </row>
    <row r="232" spans="1:10" s="174" customFormat="1" ht="15.75" customHeight="1">
      <c r="A232" s="635"/>
      <c r="B232" s="172"/>
      <c r="C232" s="172"/>
      <c r="D232" s="172"/>
      <c r="E232" s="771"/>
      <c r="J232" s="969"/>
    </row>
    <row r="233" spans="1:10" s="174" customFormat="1" ht="15.75" customHeight="1">
      <c r="A233" s="635"/>
      <c r="B233" s="172"/>
      <c r="C233" s="172"/>
      <c r="D233" s="172"/>
      <c r="E233" s="771"/>
      <c r="J233" s="969"/>
    </row>
    <row r="234" spans="1:10" s="174" customFormat="1" ht="15.75" customHeight="1">
      <c r="A234" s="635"/>
      <c r="B234" s="172"/>
      <c r="C234" s="172"/>
      <c r="D234" s="172"/>
      <c r="E234" s="771"/>
      <c r="J234" s="969"/>
    </row>
    <row r="235" spans="1:10" s="174" customFormat="1" ht="15.75" customHeight="1">
      <c r="A235" s="635"/>
      <c r="B235" s="172"/>
      <c r="C235" s="172"/>
      <c r="D235" s="172"/>
      <c r="E235" s="771"/>
      <c r="J235" s="969"/>
    </row>
    <row r="236" spans="1:10" s="174" customFormat="1" ht="15.75" customHeight="1">
      <c r="A236" s="635"/>
      <c r="B236" s="172"/>
      <c r="C236" s="172"/>
      <c r="D236" s="172"/>
      <c r="E236" s="771"/>
      <c r="J236" s="969"/>
    </row>
    <row r="237" spans="1:10" s="174" customFormat="1" ht="15.75" customHeight="1">
      <c r="A237" s="635"/>
      <c r="B237" s="172"/>
      <c r="C237" s="172"/>
      <c r="D237" s="172"/>
      <c r="E237" s="771"/>
      <c r="J237" s="969"/>
    </row>
    <row r="238" spans="1:10" s="174" customFormat="1" ht="15.75" customHeight="1">
      <c r="A238" s="635"/>
      <c r="B238" s="172"/>
      <c r="C238" s="172"/>
      <c r="D238" s="172"/>
      <c r="E238" s="771"/>
      <c r="J238" s="969"/>
    </row>
    <row r="239" spans="1:10" s="174" customFormat="1" ht="15.75" customHeight="1">
      <c r="A239" s="635"/>
      <c r="B239" s="172"/>
      <c r="C239" s="172"/>
      <c r="D239" s="172"/>
      <c r="E239" s="771"/>
      <c r="J239" s="969"/>
    </row>
    <row r="240" spans="1:10" s="174" customFormat="1" ht="15.75" customHeight="1">
      <c r="A240" s="635"/>
      <c r="B240" s="172"/>
      <c r="C240" s="172"/>
      <c r="D240" s="172"/>
      <c r="E240" s="771"/>
      <c r="J240" s="969"/>
    </row>
    <row r="241" spans="1:10" s="174" customFormat="1" ht="15.75" customHeight="1">
      <c r="A241" s="635"/>
      <c r="B241" s="172"/>
      <c r="C241" s="172"/>
      <c r="D241" s="172"/>
      <c r="E241" s="771"/>
      <c r="J241" s="969"/>
    </row>
    <row r="242" spans="1:10" s="174" customFormat="1" ht="15.75" customHeight="1">
      <c r="A242" s="635"/>
      <c r="B242" s="172"/>
      <c r="C242" s="172"/>
      <c r="D242" s="172"/>
      <c r="E242" s="771"/>
      <c r="J242" s="969"/>
    </row>
    <row r="243" spans="1:10" s="174" customFormat="1" ht="15.75" customHeight="1">
      <c r="A243" s="635"/>
      <c r="B243" s="172"/>
      <c r="C243" s="172"/>
      <c r="D243" s="172"/>
      <c r="E243" s="771"/>
      <c r="J243" s="969"/>
    </row>
    <row r="244" spans="1:10" s="174" customFormat="1" ht="15.75" customHeight="1">
      <c r="A244" s="635"/>
      <c r="B244" s="172"/>
      <c r="C244" s="172"/>
      <c r="D244" s="172"/>
      <c r="E244" s="771"/>
      <c r="J244" s="969"/>
    </row>
    <row r="245" spans="1:10" s="174" customFormat="1" ht="15.75" customHeight="1">
      <c r="A245" s="635"/>
      <c r="B245" s="172"/>
      <c r="C245" s="172"/>
      <c r="D245" s="172"/>
      <c r="E245" s="771"/>
      <c r="J245" s="969"/>
    </row>
    <row r="246" spans="1:10" s="174" customFormat="1" ht="15.75" customHeight="1">
      <c r="A246" s="635"/>
      <c r="B246" s="172"/>
      <c r="C246" s="172"/>
      <c r="D246" s="172"/>
      <c r="E246" s="771"/>
      <c r="J246" s="969"/>
    </row>
    <row r="247" spans="1:10" s="174" customFormat="1" ht="15.75" customHeight="1">
      <c r="A247" s="635"/>
      <c r="B247" s="172"/>
      <c r="C247" s="172"/>
      <c r="D247" s="172"/>
      <c r="E247" s="771"/>
      <c r="J247" s="969"/>
    </row>
    <row r="248" spans="1:10" s="174" customFormat="1" ht="15.75" customHeight="1">
      <c r="A248" s="635"/>
      <c r="B248" s="172"/>
      <c r="C248" s="172"/>
      <c r="D248" s="172"/>
      <c r="E248" s="771"/>
      <c r="J248" s="969"/>
    </row>
    <row r="249" spans="1:10" s="174" customFormat="1" ht="15.75" customHeight="1">
      <c r="A249" s="635"/>
      <c r="B249" s="172"/>
      <c r="C249" s="172"/>
      <c r="D249" s="172"/>
      <c r="E249" s="771"/>
      <c r="J249" s="969"/>
    </row>
    <row r="250" spans="1:10" s="174" customFormat="1" ht="15.75" customHeight="1">
      <c r="A250" s="635"/>
      <c r="B250" s="172"/>
      <c r="C250" s="172"/>
      <c r="D250" s="172"/>
      <c r="E250" s="771"/>
      <c r="J250" s="969"/>
    </row>
    <row r="251" spans="1:10" s="174" customFormat="1" ht="15.75" customHeight="1">
      <c r="A251" s="635"/>
      <c r="B251" s="172"/>
      <c r="C251" s="172"/>
      <c r="D251" s="172"/>
      <c r="E251" s="771"/>
      <c r="J251" s="969"/>
    </row>
    <row r="252" spans="1:10" s="174" customFormat="1" ht="15.75" customHeight="1">
      <c r="A252" s="635"/>
      <c r="B252" s="172"/>
      <c r="C252" s="172"/>
      <c r="D252" s="172"/>
      <c r="E252" s="771"/>
      <c r="J252" s="969"/>
    </row>
    <row r="253" spans="1:10" s="174" customFormat="1" ht="15.75" customHeight="1">
      <c r="A253" s="635"/>
      <c r="B253" s="172"/>
      <c r="C253" s="172"/>
      <c r="D253" s="172"/>
      <c r="E253" s="771"/>
      <c r="J253" s="969"/>
    </row>
    <row r="254" spans="1:10" s="174" customFormat="1" ht="15.75" customHeight="1">
      <c r="A254" s="635"/>
      <c r="B254" s="172"/>
      <c r="C254" s="172"/>
      <c r="D254" s="172"/>
      <c r="E254" s="771"/>
      <c r="J254" s="969"/>
    </row>
    <row r="255" spans="1:10" s="174" customFormat="1" ht="15.75" customHeight="1">
      <c r="A255" s="635"/>
      <c r="B255" s="172"/>
      <c r="C255" s="172"/>
      <c r="D255" s="172"/>
      <c r="E255" s="771"/>
      <c r="J255" s="969"/>
    </row>
    <row r="256" spans="1:10" s="174" customFormat="1" ht="15.75" customHeight="1">
      <c r="A256" s="635"/>
      <c r="B256" s="172"/>
      <c r="C256" s="172"/>
      <c r="D256" s="172"/>
      <c r="E256" s="771"/>
      <c r="J256" s="969"/>
    </row>
    <row r="257" spans="1:10" s="174" customFormat="1" ht="15.75" customHeight="1">
      <c r="A257" s="635"/>
      <c r="B257" s="172"/>
      <c r="C257" s="172"/>
      <c r="D257" s="172"/>
      <c r="E257" s="771"/>
      <c r="J257" s="969"/>
    </row>
    <row r="258" spans="1:10" s="174" customFormat="1" ht="15.75" customHeight="1">
      <c r="A258" s="635"/>
      <c r="B258" s="172"/>
      <c r="C258" s="172"/>
      <c r="D258" s="172"/>
      <c r="E258" s="771"/>
      <c r="J258" s="969"/>
    </row>
    <row r="259" spans="1:10" s="174" customFormat="1" ht="15.75" customHeight="1">
      <c r="A259" s="635"/>
      <c r="B259" s="172"/>
      <c r="C259" s="172"/>
      <c r="D259" s="172"/>
      <c r="E259" s="771"/>
      <c r="J259" s="969"/>
    </row>
    <row r="260" spans="1:10" s="174" customFormat="1" ht="15.75" customHeight="1">
      <c r="A260" s="635"/>
      <c r="B260" s="172"/>
      <c r="C260" s="172"/>
      <c r="D260" s="172"/>
      <c r="E260" s="771"/>
      <c r="J260" s="969"/>
    </row>
    <row r="261" spans="1:10" s="174" customFormat="1" ht="15.75" customHeight="1">
      <c r="A261" s="635"/>
      <c r="B261" s="172"/>
      <c r="C261" s="172"/>
      <c r="D261" s="172"/>
      <c r="E261" s="771"/>
      <c r="J261" s="969"/>
    </row>
    <row r="262" spans="1:10" s="174" customFormat="1" ht="15.75" customHeight="1">
      <c r="A262" s="635"/>
      <c r="B262" s="172"/>
      <c r="C262" s="172"/>
      <c r="D262" s="172"/>
      <c r="E262" s="771"/>
      <c r="J262" s="969"/>
    </row>
    <row r="263" spans="1:10" s="174" customFormat="1" ht="15.75" customHeight="1">
      <c r="A263" s="635"/>
      <c r="B263" s="172"/>
      <c r="C263" s="172"/>
      <c r="D263" s="172"/>
      <c r="E263" s="771"/>
      <c r="J263" s="969"/>
    </row>
    <row r="264" spans="1:10" s="174" customFormat="1" ht="15.75" customHeight="1">
      <c r="A264" s="635"/>
      <c r="B264" s="172"/>
      <c r="C264" s="172"/>
      <c r="D264" s="172"/>
      <c r="E264" s="771"/>
      <c r="J264" s="969"/>
    </row>
    <row r="265" spans="1:10" s="174" customFormat="1" ht="15.75" customHeight="1">
      <c r="A265" s="635"/>
      <c r="B265" s="172"/>
      <c r="C265" s="172"/>
      <c r="D265" s="172"/>
      <c r="E265" s="771"/>
      <c r="J265" s="969"/>
    </row>
    <row r="266" spans="1:10" s="174" customFormat="1" ht="15.75" customHeight="1">
      <c r="A266" s="635"/>
      <c r="B266" s="172"/>
      <c r="C266" s="172"/>
      <c r="D266" s="172"/>
      <c r="E266" s="771"/>
      <c r="J266" s="969"/>
    </row>
    <row r="267" spans="1:10" s="174" customFormat="1" ht="15.75" customHeight="1">
      <c r="A267" s="635"/>
      <c r="B267" s="172"/>
      <c r="C267" s="172"/>
      <c r="D267" s="172"/>
      <c r="E267" s="771"/>
      <c r="J267" s="969"/>
    </row>
    <row r="268" spans="1:10" s="174" customFormat="1" ht="15.75" customHeight="1">
      <c r="A268" s="635"/>
      <c r="B268" s="172"/>
      <c r="C268" s="172"/>
      <c r="D268" s="172"/>
      <c r="E268" s="771"/>
      <c r="J268" s="969"/>
    </row>
    <row r="269" spans="1:10" s="174" customFormat="1" ht="15.75" customHeight="1">
      <c r="A269" s="635"/>
      <c r="B269" s="172"/>
      <c r="C269" s="172"/>
      <c r="D269" s="172"/>
      <c r="E269" s="771"/>
      <c r="J269" s="969"/>
    </row>
    <row r="270" spans="1:10" s="174" customFormat="1" ht="15.75" customHeight="1">
      <c r="A270" s="635"/>
      <c r="B270" s="172"/>
      <c r="C270" s="172"/>
      <c r="D270" s="172"/>
      <c r="E270" s="771"/>
      <c r="J270" s="969"/>
    </row>
    <row r="271" spans="1:10" s="174" customFormat="1" ht="15.75" customHeight="1">
      <c r="A271" s="635"/>
      <c r="B271" s="172"/>
      <c r="C271" s="172"/>
      <c r="D271" s="172"/>
      <c r="E271" s="771"/>
      <c r="J271" s="969"/>
    </row>
    <row r="272" spans="1:10" s="174" customFormat="1" ht="15.75" customHeight="1">
      <c r="A272" s="635"/>
      <c r="B272" s="172"/>
      <c r="C272" s="172"/>
      <c r="D272" s="172"/>
      <c r="E272" s="771"/>
      <c r="J272" s="969"/>
    </row>
    <row r="273" spans="1:10" s="174" customFormat="1" ht="15.75" customHeight="1">
      <c r="A273" s="635"/>
      <c r="B273" s="172"/>
      <c r="C273" s="172"/>
      <c r="D273" s="172"/>
      <c r="E273" s="771"/>
      <c r="J273" s="969"/>
    </row>
    <row r="274" spans="1:10" s="174" customFormat="1" ht="15.75" customHeight="1">
      <c r="A274" s="635"/>
      <c r="B274" s="172"/>
      <c r="C274" s="172"/>
      <c r="D274" s="172"/>
      <c r="E274" s="771"/>
      <c r="J274" s="969"/>
    </row>
    <row r="275" spans="1:10" s="174" customFormat="1" ht="15.75" customHeight="1">
      <c r="A275" s="635"/>
      <c r="B275" s="172"/>
      <c r="C275" s="172"/>
      <c r="D275" s="172"/>
      <c r="E275" s="771"/>
      <c r="J275" s="969"/>
    </row>
    <row r="276" spans="1:10" s="174" customFormat="1" ht="15.75" customHeight="1">
      <c r="A276" s="635"/>
      <c r="B276" s="172"/>
      <c r="C276" s="172"/>
      <c r="D276" s="172"/>
      <c r="E276" s="771"/>
      <c r="J276" s="969"/>
    </row>
    <row r="277" spans="1:10" s="174" customFormat="1" ht="15.75" customHeight="1">
      <c r="A277" s="635"/>
      <c r="B277" s="172"/>
      <c r="C277" s="172"/>
      <c r="D277" s="172"/>
      <c r="E277" s="771"/>
      <c r="J277" s="969"/>
    </row>
    <row r="278" spans="1:10" s="174" customFormat="1" ht="15.75" customHeight="1">
      <c r="A278" s="635"/>
      <c r="B278" s="172"/>
      <c r="C278" s="172"/>
      <c r="D278" s="172"/>
      <c r="E278" s="771"/>
      <c r="J278" s="969"/>
    </row>
    <row r="279" spans="1:10" s="174" customFormat="1" ht="15.75" customHeight="1">
      <c r="A279" s="635"/>
      <c r="B279" s="172"/>
      <c r="C279" s="172"/>
      <c r="D279" s="172"/>
      <c r="E279" s="771"/>
      <c r="J279" s="969"/>
    </row>
    <row r="280" spans="1:10" s="174" customFormat="1" ht="15.75" customHeight="1">
      <c r="A280" s="635"/>
      <c r="B280" s="172"/>
      <c r="C280" s="172"/>
      <c r="D280" s="172"/>
      <c r="E280" s="771"/>
      <c r="J280" s="969"/>
    </row>
    <row r="281" spans="1:10" s="174" customFormat="1" ht="15.75" customHeight="1">
      <c r="A281" s="635"/>
      <c r="B281" s="172"/>
      <c r="C281" s="172"/>
      <c r="D281" s="172"/>
      <c r="E281" s="771"/>
      <c r="J281" s="969"/>
    </row>
    <row r="282" spans="1:10" s="174" customFormat="1" ht="15.75" customHeight="1">
      <c r="A282" s="635"/>
      <c r="B282" s="172"/>
      <c r="C282" s="172"/>
      <c r="D282" s="172"/>
      <c r="E282" s="771"/>
      <c r="J282" s="969"/>
    </row>
    <row r="283" spans="1:10" s="174" customFormat="1" ht="15.75" customHeight="1">
      <c r="A283" s="635"/>
      <c r="B283" s="172"/>
      <c r="C283" s="172"/>
      <c r="D283" s="172"/>
      <c r="E283" s="771"/>
      <c r="J283" s="969"/>
    </row>
    <row r="284" spans="1:10" s="174" customFormat="1" ht="15.75" customHeight="1">
      <c r="A284" s="635"/>
      <c r="B284" s="172"/>
      <c r="C284" s="172"/>
      <c r="D284" s="172"/>
      <c r="E284" s="771"/>
      <c r="J284" s="969"/>
    </row>
    <row r="285" spans="1:10" s="174" customFormat="1" ht="15.75" customHeight="1">
      <c r="A285" s="635"/>
      <c r="B285" s="172"/>
      <c r="C285" s="172"/>
      <c r="D285" s="172"/>
      <c r="E285" s="771"/>
      <c r="J285" s="969"/>
    </row>
    <row r="286" spans="1:10" s="174" customFormat="1" ht="15.75" customHeight="1">
      <c r="A286" s="635"/>
      <c r="B286" s="172"/>
      <c r="C286" s="172"/>
      <c r="D286" s="172"/>
      <c r="E286" s="771"/>
      <c r="J286" s="969"/>
    </row>
    <row r="287" spans="1:10" s="174" customFormat="1" ht="15.75" customHeight="1">
      <c r="A287" s="635"/>
      <c r="B287" s="172"/>
      <c r="C287" s="172"/>
      <c r="D287" s="172"/>
      <c r="E287" s="771"/>
      <c r="J287" s="969"/>
    </row>
    <row r="288" spans="1:10" s="174" customFormat="1" ht="15.75" customHeight="1">
      <c r="A288" s="635"/>
      <c r="B288" s="172"/>
      <c r="C288" s="172"/>
      <c r="D288" s="172"/>
      <c r="E288" s="771"/>
      <c r="J288" s="969"/>
    </row>
    <row r="289" spans="1:10" s="174" customFormat="1" ht="15.75" customHeight="1">
      <c r="A289" s="635"/>
      <c r="B289" s="172"/>
      <c r="C289" s="172"/>
      <c r="D289" s="172"/>
      <c r="E289" s="771"/>
      <c r="J289" s="969"/>
    </row>
    <row r="290" spans="1:10" s="174" customFormat="1" ht="15.75" customHeight="1">
      <c r="A290" s="635"/>
      <c r="B290" s="172"/>
      <c r="C290" s="172"/>
      <c r="D290" s="172"/>
      <c r="E290" s="771"/>
      <c r="J290" s="969"/>
    </row>
    <row r="291" spans="1:10" s="174" customFormat="1" ht="15.75" customHeight="1">
      <c r="A291" s="635"/>
      <c r="B291" s="172"/>
      <c r="C291" s="172"/>
      <c r="D291" s="172"/>
      <c r="E291" s="771"/>
      <c r="J291" s="969"/>
    </row>
    <row r="292" spans="1:10" s="174" customFormat="1" ht="15.75" customHeight="1">
      <c r="A292" s="635"/>
      <c r="B292" s="172"/>
      <c r="C292" s="172"/>
      <c r="D292" s="172"/>
      <c r="E292" s="771"/>
      <c r="J292" s="969"/>
    </row>
    <row r="293" spans="1:10" s="174" customFormat="1" ht="15.75" customHeight="1">
      <c r="A293" s="635"/>
      <c r="B293" s="172"/>
      <c r="C293" s="172"/>
      <c r="D293" s="172"/>
      <c r="E293" s="771"/>
      <c r="J293" s="969"/>
    </row>
    <row r="294" spans="1:10" s="174" customFormat="1" ht="15.75" customHeight="1">
      <c r="A294" s="635"/>
      <c r="B294" s="172"/>
      <c r="C294" s="172"/>
      <c r="D294" s="172"/>
      <c r="E294" s="771"/>
      <c r="J294" s="969"/>
    </row>
    <row r="295" spans="1:10" s="174" customFormat="1" ht="15.75" customHeight="1">
      <c r="A295" s="635"/>
      <c r="B295" s="172"/>
      <c r="C295" s="172"/>
      <c r="D295" s="172"/>
      <c r="E295" s="771"/>
      <c r="J295" s="969"/>
    </row>
    <row r="296" spans="1:10" s="174" customFormat="1" ht="15.75" customHeight="1">
      <c r="A296" s="635"/>
      <c r="B296" s="172"/>
      <c r="C296" s="172"/>
      <c r="D296" s="172"/>
      <c r="E296" s="771"/>
      <c r="J296" s="969"/>
    </row>
    <row r="297" spans="1:10" s="174" customFormat="1" ht="15.75" customHeight="1">
      <c r="A297" s="635"/>
      <c r="B297" s="172"/>
      <c r="C297" s="172"/>
      <c r="D297" s="172"/>
      <c r="E297" s="771"/>
      <c r="J297" s="969"/>
    </row>
    <row r="298" spans="1:10" s="174" customFormat="1" ht="15.75" customHeight="1">
      <c r="A298" s="635"/>
      <c r="B298" s="172"/>
      <c r="C298" s="172"/>
      <c r="D298" s="172"/>
      <c r="E298" s="771"/>
      <c r="J298" s="969"/>
    </row>
    <row r="299" spans="1:10" s="174" customFormat="1" ht="15.75" customHeight="1">
      <c r="A299" s="635"/>
      <c r="B299" s="172"/>
      <c r="C299" s="172"/>
      <c r="D299" s="172"/>
      <c r="E299" s="771"/>
      <c r="J299" s="969"/>
    </row>
    <row r="300" spans="1:10" s="174" customFormat="1" ht="15.75" customHeight="1">
      <c r="A300" s="635"/>
      <c r="B300" s="172"/>
      <c r="C300" s="172"/>
      <c r="D300" s="172"/>
      <c r="E300" s="771"/>
      <c r="J300" s="969"/>
    </row>
    <row r="301" spans="1:10" s="174" customFormat="1" ht="15.75" customHeight="1">
      <c r="A301" s="635"/>
      <c r="B301" s="172"/>
      <c r="C301" s="172"/>
      <c r="D301" s="172"/>
      <c r="E301" s="771"/>
      <c r="J301" s="969"/>
    </row>
    <row r="302" spans="1:10" s="174" customFormat="1" ht="15.75" customHeight="1">
      <c r="A302" s="635"/>
      <c r="B302" s="172"/>
      <c r="C302" s="172"/>
      <c r="D302" s="172"/>
      <c r="E302" s="771"/>
      <c r="J302" s="969"/>
    </row>
    <row r="303" spans="1:10" s="174" customFormat="1" ht="15.75" customHeight="1">
      <c r="A303" s="635"/>
      <c r="B303" s="172"/>
      <c r="C303" s="172"/>
      <c r="D303" s="172"/>
      <c r="E303" s="771"/>
      <c r="J303" s="969"/>
    </row>
    <row r="304" spans="1:10" s="174" customFormat="1" ht="15.75" customHeight="1">
      <c r="A304" s="635"/>
      <c r="B304" s="172"/>
      <c r="C304" s="172"/>
      <c r="D304" s="172"/>
      <c r="E304" s="771"/>
      <c r="J304" s="969"/>
    </row>
    <row r="305" spans="1:10" s="174" customFormat="1" ht="15.75" customHeight="1">
      <c r="A305" s="635"/>
      <c r="B305" s="172"/>
      <c r="C305" s="172"/>
      <c r="D305" s="172"/>
      <c r="E305" s="771"/>
      <c r="J305" s="969"/>
    </row>
    <row r="306" spans="1:10" s="174" customFormat="1" ht="15.75" customHeight="1">
      <c r="A306" s="635"/>
      <c r="B306" s="172"/>
      <c r="C306" s="172"/>
      <c r="D306" s="172"/>
      <c r="E306" s="771"/>
      <c r="J306" s="969"/>
    </row>
    <row r="307" spans="1:10" s="174" customFormat="1" ht="15.75" customHeight="1">
      <c r="A307" s="635"/>
      <c r="B307" s="172"/>
      <c r="C307" s="172"/>
      <c r="D307" s="172"/>
      <c r="E307" s="771"/>
      <c r="J307" s="969"/>
    </row>
    <row r="308" spans="1:10" s="174" customFormat="1" ht="15.75" customHeight="1">
      <c r="A308" s="635"/>
      <c r="B308" s="172"/>
      <c r="C308" s="172"/>
      <c r="D308" s="172"/>
      <c r="E308" s="771"/>
      <c r="J308" s="969"/>
    </row>
    <row r="309" spans="1:10" s="174" customFormat="1" ht="15.75" customHeight="1">
      <c r="A309" s="635"/>
      <c r="B309" s="172"/>
      <c r="C309" s="172"/>
      <c r="D309" s="172"/>
      <c r="E309" s="771"/>
      <c r="J309" s="969"/>
    </row>
    <row r="310" spans="1:10" s="174" customFormat="1" ht="15.75" customHeight="1">
      <c r="A310" s="635"/>
      <c r="B310" s="172"/>
      <c r="C310" s="172"/>
      <c r="D310" s="172"/>
      <c r="E310" s="771"/>
      <c r="J310" s="969"/>
    </row>
    <row r="311" spans="1:10" s="174" customFormat="1" ht="15.75" customHeight="1">
      <c r="A311" s="635"/>
      <c r="B311" s="172"/>
      <c r="C311" s="172"/>
      <c r="D311" s="172"/>
      <c r="E311" s="771"/>
      <c r="J311" s="969"/>
    </row>
    <row r="312" spans="1:10" s="174" customFormat="1" ht="15.75" customHeight="1">
      <c r="A312" s="635"/>
      <c r="B312" s="172"/>
      <c r="C312" s="172"/>
      <c r="D312" s="172"/>
      <c r="E312" s="771"/>
      <c r="J312" s="969"/>
    </row>
    <row r="313" spans="1:10" s="174" customFormat="1" ht="15.75" customHeight="1">
      <c r="A313" s="635"/>
      <c r="B313" s="172"/>
      <c r="C313" s="172"/>
      <c r="D313" s="172"/>
      <c r="E313" s="771"/>
      <c r="J313" s="969"/>
    </row>
    <row r="314" spans="1:10" s="174" customFormat="1" ht="15.75" customHeight="1">
      <c r="A314" s="635"/>
      <c r="B314" s="172"/>
      <c r="C314" s="172"/>
      <c r="D314" s="172"/>
      <c r="E314" s="771"/>
      <c r="J314" s="969"/>
    </row>
    <row r="315" spans="1:10" s="174" customFormat="1" ht="15.75" customHeight="1">
      <c r="A315" s="635"/>
      <c r="B315" s="172"/>
      <c r="C315" s="172"/>
      <c r="D315" s="172"/>
      <c r="E315" s="771"/>
      <c r="J315" s="969"/>
    </row>
    <row r="316" spans="1:10" s="174" customFormat="1" ht="15.75" customHeight="1">
      <c r="A316" s="635"/>
      <c r="B316" s="172"/>
      <c r="C316" s="172"/>
      <c r="D316" s="172"/>
      <c r="E316" s="771"/>
      <c r="J316" s="969"/>
    </row>
    <row r="317" spans="1:10" s="174" customFormat="1" ht="15.75" customHeight="1">
      <c r="A317" s="635"/>
      <c r="B317" s="172"/>
      <c r="C317" s="172"/>
      <c r="D317" s="172"/>
      <c r="E317" s="771"/>
      <c r="J317" s="969"/>
    </row>
  </sheetData>
  <autoFilter ref="D2:D317"/>
  <mergeCells count="20">
    <mergeCell ref="B15:E15"/>
    <mergeCell ref="B19:E19"/>
    <mergeCell ref="B22:E22"/>
    <mergeCell ref="B33:E33"/>
    <mergeCell ref="B108:E108"/>
    <mergeCell ref="B112:E112"/>
    <mergeCell ref="B133:E133"/>
    <mergeCell ref="B138:E138"/>
    <mergeCell ref="B139:E139"/>
    <mergeCell ref="B67:E67"/>
    <mergeCell ref="B78:E78"/>
    <mergeCell ref="B92:E92"/>
    <mergeCell ref="F4:F6"/>
    <mergeCell ref="H168:H170"/>
    <mergeCell ref="F168:F170"/>
    <mergeCell ref="G168:G170"/>
    <mergeCell ref="I4:I6"/>
    <mergeCell ref="I168:I170"/>
    <mergeCell ref="G4:G6"/>
    <mergeCell ref="H4:H6"/>
  </mergeCells>
  <printOptions horizontalCentered="1"/>
  <pageMargins left="0.78740157480314965" right="0.78740157480314965" top="0.78740157480314965" bottom="0.78740157480314965" header="0.39370078740157483" footer="0.39370078740157483"/>
  <pageSetup paperSize="9" scale="90" firstPageNumber="64" orientation="portrait" useFirstPageNumber="1" r:id="rId1"/>
  <headerFooter>
    <oddHeader>&amp;C&amp;"Times New Roman,Tučné"II. Rozpis rozpočtu</oddHeader>
    <oddFooter>&amp;C&amp;P</oddFooter>
  </headerFooter>
  <rowBreaks count="2" manualBreakCount="2">
    <brk id="61" min="1" max="8" man="1"/>
    <brk id="139" min="1" max="8" man="1"/>
  </rowBreaks>
  <ignoredErrors>
    <ignoredError sqref="F67:H67 H138" formulaRange="1"/>
    <ignoredError sqref="D171" numberStoredAsText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</sheetPr>
  <dimension ref="A1:J307"/>
  <sheetViews>
    <sheetView zoomScaleNormal="100" workbookViewId="0">
      <selection activeCell="P20" sqref="P20"/>
    </sheetView>
  </sheetViews>
  <sheetFormatPr defaultRowHeight="15"/>
  <cols>
    <col min="1" max="1" width="4" style="156" customWidth="1"/>
    <col min="2" max="4" width="5.7109375" style="1" customWidth="1"/>
    <col min="5" max="5" width="36.7109375" style="1" customWidth="1"/>
    <col min="6" max="9" width="9.85546875" style="370" customWidth="1"/>
    <col min="10" max="16384" width="9.140625" style="1"/>
  </cols>
  <sheetData>
    <row r="1" spans="1:9" ht="15.75" customHeight="1">
      <c r="A1" s="203"/>
      <c r="B1" s="3"/>
      <c r="C1" s="3"/>
      <c r="D1" s="3"/>
      <c r="E1" s="3"/>
    </row>
    <row r="2" spans="1:9" ht="15.75" customHeight="1">
      <c r="A2" s="203"/>
      <c r="B2" s="3"/>
      <c r="C2" s="3"/>
      <c r="D2" s="3"/>
      <c r="E2" s="3"/>
      <c r="F2" s="42"/>
      <c r="G2" s="42"/>
      <c r="H2" s="42"/>
      <c r="I2" s="42"/>
    </row>
    <row r="3" spans="1:9" ht="15.75" customHeight="1" thickBot="1">
      <c r="A3" s="203"/>
      <c r="B3" s="3"/>
      <c r="C3" s="3"/>
      <c r="D3" s="3"/>
      <c r="E3" s="3"/>
    </row>
    <row r="4" spans="1:9" ht="15.75" customHeight="1" thickTop="1">
      <c r="A4" s="203"/>
      <c r="B4" s="352"/>
      <c r="C4" s="371"/>
      <c r="D4" s="372"/>
      <c r="E4" s="373"/>
      <c r="F4" s="1965" t="s">
        <v>44</v>
      </c>
      <c r="G4" s="1965" t="s">
        <v>43</v>
      </c>
      <c r="H4" s="1962" t="s">
        <v>1487</v>
      </c>
      <c r="I4" s="1971" t="s">
        <v>1488</v>
      </c>
    </row>
    <row r="5" spans="1:9" ht="15.75" customHeight="1">
      <c r="A5" s="203" t="s">
        <v>120</v>
      </c>
      <c r="B5" s="353" t="s">
        <v>42</v>
      </c>
      <c r="C5" s="354" t="s">
        <v>41</v>
      </c>
      <c r="D5" s="374" t="s">
        <v>40</v>
      </c>
      <c r="E5" s="309"/>
      <c r="F5" s="1966"/>
      <c r="G5" s="1966"/>
      <c r="H5" s="1963"/>
      <c r="I5" s="1972"/>
    </row>
    <row r="6" spans="1:9" ht="15.75" customHeight="1" thickBot="1">
      <c r="A6" s="203"/>
      <c r="B6" s="356"/>
      <c r="C6" s="357"/>
      <c r="D6" s="375"/>
      <c r="E6" s="376" t="s">
        <v>38</v>
      </c>
      <c r="F6" s="1967"/>
      <c r="G6" s="1967"/>
      <c r="H6" s="1964"/>
      <c r="I6" s="1973"/>
    </row>
    <row r="7" spans="1:9" s="46" customFormat="1" ht="15.75" customHeight="1" thickTop="1" thickBot="1">
      <c r="A7" s="377">
        <v>502</v>
      </c>
      <c r="B7" s="329">
        <v>4351</v>
      </c>
      <c r="C7" s="246">
        <v>5213</v>
      </c>
      <c r="D7" s="330">
        <v>1079</v>
      </c>
      <c r="E7" s="342" t="s">
        <v>467</v>
      </c>
      <c r="F7" s="378">
        <v>0</v>
      </c>
      <c r="G7" s="378">
        <v>65</v>
      </c>
      <c r="H7" s="378">
        <v>0</v>
      </c>
      <c r="I7" s="1432">
        <v>0</v>
      </c>
    </row>
    <row r="8" spans="1:9" s="46" customFormat="1" ht="15.75" customHeight="1" thickBot="1">
      <c r="A8" s="377">
        <v>511</v>
      </c>
      <c r="B8" s="329" t="s">
        <v>468</v>
      </c>
      <c r="C8" s="246" t="s">
        <v>469</v>
      </c>
      <c r="D8" s="330" t="s">
        <v>470</v>
      </c>
      <c r="E8" s="342" t="s">
        <v>471</v>
      </c>
      <c r="F8" s="378">
        <v>250</v>
      </c>
      <c r="G8" s="378">
        <f>250+750</f>
        <v>1000</v>
      </c>
      <c r="H8" s="378">
        <v>250</v>
      </c>
      <c r="I8" s="1432">
        <v>250</v>
      </c>
    </row>
    <row r="9" spans="1:9" s="46" customFormat="1" ht="15.75" customHeight="1" thickBot="1">
      <c r="A9" s="377">
        <v>503</v>
      </c>
      <c r="B9" s="329" t="s">
        <v>472</v>
      </c>
      <c r="C9" s="246" t="s">
        <v>469</v>
      </c>
      <c r="D9" s="330">
        <v>1079</v>
      </c>
      <c r="E9" s="342" t="s">
        <v>473</v>
      </c>
      <c r="F9" s="378">
        <v>0</v>
      </c>
      <c r="G9" s="378">
        <f>200+75+150+120</f>
        <v>545</v>
      </c>
      <c r="H9" s="378">
        <v>0</v>
      </c>
      <c r="I9" s="1432">
        <v>0</v>
      </c>
    </row>
    <row r="10" spans="1:9" s="46" customFormat="1" ht="15.75" customHeight="1" thickBot="1">
      <c r="A10" s="377">
        <v>512</v>
      </c>
      <c r="B10" s="322" t="s">
        <v>468</v>
      </c>
      <c r="C10" s="830" t="s">
        <v>474</v>
      </c>
      <c r="D10" s="323" t="s">
        <v>475</v>
      </c>
      <c r="E10" s="341" t="s">
        <v>476</v>
      </c>
      <c r="F10" s="369">
        <v>0</v>
      </c>
      <c r="G10" s="369">
        <v>200</v>
      </c>
      <c r="H10" s="369">
        <v>0</v>
      </c>
      <c r="I10" s="1433">
        <v>0</v>
      </c>
    </row>
    <row r="11" spans="1:9" s="46" customFormat="1" ht="15.75" customHeight="1" thickBot="1">
      <c r="A11" s="377">
        <v>504</v>
      </c>
      <c r="B11" s="322">
        <v>4344</v>
      </c>
      <c r="C11" s="830" t="s">
        <v>474</v>
      </c>
      <c r="D11" s="323">
        <v>1079</v>
      </c>
      <c r="E11" s="341" t="s">
        <v>477</v>
      </c>
      <c r="F11" s="369">
        <v>0</v>
      </c>
      <c r="G11" s="369">
        <v>100</v>
      </c>
      <c r="H11" s="369">
        <v>0</v>
      </c>
      <c r="I11" s="1433">
        <v>0</v>
      </c>
    </row>
    <row r="12" spans="1:9" s="46" customFormat="1" ht="15.75" customHeight="1" thickBot="1">
      <c r="A12" s="377">
        <v>514</v>
      </c>
      <c r="B12" s="379" t="s">
        <v>472</v>
      </c>
      <c r="C12" s="255" t="s">
        <v>478</v>
      </c>
      <c r="D12" s="380" t="s">
        <v>475</v>
      </c>
      <c r="E12" s="381" t="s">
        <v>479</v>
      </c>
      <c r="F12" s="382">
        <v>0</v>
      </c>
      <c r="G12" s="382">
        <f>25+75</f>
        <v>100</v>
      </c>
      <c r="H12" s="382">
        <v>0</v>
      </c>
      <c r="I12" s="1434">
        <v>0</v>
      </c>
    </row>
    <row r="13" spans="1:9" s="46" customFormat="1" ht="15.75" customHeight="1" thickBot="1">
      <c r="A13" s="377">
        <v>505</v>
      </c>
      <c r="B13" s="379">
        <v>4379</v>
      </c>
      <c r="C13" s="255" t="s">
        <v>478</v>
      </c>
      <c r="D13" s="380">
        <v>1079</v>
      </c>
      <c r="E13" s="381" t="s">
        <v>480</v>
      </c>
      <c r="F13" s="382">
        <v>0</v>
      </c>
      <c r="G13" s="369">
        <v>155</v>
      </c>
      <c r="H13" s="369">
        <v>0</v>
      </c>
      <c r="I13" s="1433">
        <v>0</v>
      </c>
    </row>
    <row r="14" spans="1:9" s="46" customFormat="1" ht="15.75" customHeight="1" thickBot="1">
      <c r="A14" s="377">
        <v>516</v>
      </c>
      <c r="B14" s="322" t="s">
        <v>472</v>
      </c>
      <c r="C14" s="830" t="s">
        <v>474</v>
      </c>
      <c r="D14" s="323" t="s">
        <v>481</v>
      </c>
      <c r="E14" s="341" t="s">
        <v>482</v>
      </c>
      <c r="F14" s="369">
        <v>0</v>
      </c>
      <c r="G14" s="369">
        <f>170+280+90</f>
        <v>540</v>
      </c>
      <c r="H14" s="369">
        <v>0</v>
      </c>
      <c r="I14" s="1433">
        <v>0</v>
      </c>
    </row>
    <row r="15" spans="1:9" s="46" customFormat="1" ht="15.75" customHeight="1" thickBot="1">
      <c r="A15" s="377"/>
      <c r="B15" s="383">
        <v>4344</v>
      </c>
      <c r="C15" s="257" t="s">
        <v>152</v>
      </c>
      <c r="D15" s="384">
        <v>1079</v>
      </c>
      <c r="E15" s="385" t="s">
        <v>483</v>
      </c>
      <c r="F15" s="386">
        <v>0</v>
      </c>
      <c r="G15" s="386">
        <v>41</v>
      </c>
      <c r="H15" s="386">
        <v>0</v>
      </c>
      <c r="I15" s="1435">
        <v>0</v>
      </c>
    </row>
    <row r="16" spans="1:9" s="46" customFormat="1" ht="15.75" customHeight="1" thickBot="1">
      <c r="A16" s="377"/>
      <c r="B16" s="383" t="s">
        <v>472</v>
      </c>
      <c r="C16" s="257" t="s">
        <v>474</v>
      </c>
      <c r="D16" s="384">
        <v>1079</v>
      </c>
      <c r="E16" s="385" t="s">
        <v>484</v>
      </c>
      <c r="F16" s="386">
        <v>0</v>
      </c>
      <c r="G16" s="386">
        <v>405</v>
      </c>
      <c r="H16" s="386">
        <v>0</v>
      </c>
      <c r="I16" s="1435">
        <v>0</v>
      </c>
    </row>
    <row r="17" spans="1:9" s="46" customFormat="1" ht="15.75" customHeight="1" thickBot="1">
      <c r="A17" s="377"/>
      <c r="B17" s="383" t="s">
        <v>472</v>
      </c>
      <c r="C17" s="257" t="s">
        <v>478</v>
      </c>
      <c r="D17" s="384">
        <v>1079</v>
      </c>
      <c r="E17" s="385" t="s">
        <v>485</v>
      </c>
      <c r="F17" s="386">
        <v>0</v>
      </c>
      <c r="G17" s="386">
        <v>80</v>
      </c>
      <c r="H17" s="386">
        <v>0</v>
      </c>
      <c r="I17" s="1435">
        <v>0</v>
      </c>
    </row>
    <row r="18" spans="1:9" s="46" customFormat="1" ht="15.75" customHeight="1" thickBot="1">
      <c r="A18" s="377"/>
      <c r="B18" s="383">
        <v>4358</v>
      </c>
      <c r="C18" s="257" t="s">
        <v>486</v>
      </c>
      <c r="D18" s="384">
        <v>1079</v>
      </c>
      <c r="E18" s="385" t="s">
        <v>487</v>
      </c>
      <c r="F18" s="386">
        <v>0</v>
      </c>
      <c r="G18" s="386">
        <v>20</v>
      </c>
      <c r="H18" s="386">
        <v>0</v>
      </c>
      <c r="I18" s="1435">
        <v>0</v>
      </c>
    </row>
    <row r="19" spans="1:9" s="46" customFormat="1" ht="15.75" customHeight="1" thickBot="1">
      <c r="A19" s="377"/>
      <c r="B19" s="387">
        <v>4399</v>
      </c>
      <c r="C19" s="257">
        <v>5901</v>
      </c>
      <c r="D19" s="384">
        <v>1079</v>
      </c>
      <c r="E19" s="385" t="s">
        <v>488</v>
      </c>
      <c r="F19" s="386">
        <v>1451</v>
      </c>
      <c r="G19" s="386">
        <f>1451+1690-66-3075+1250-346</f>
        <v>904</v>
      </c>
      <c r="H19" s="386">
        <v>1500</v>
      </c>
      <c r="I19" s="1435">
        <v>1500</v>
      </c>
    </row>
    <row r="20" spans="1:9" s="388" customFormat="1" ht="15.75" customHeight="1" thickBot="1">
      <c r="A20" s="203">
        <v>518</v>
      </c>
      <c r="B20" s="1995" t="s">
        <v>489</v>
      </c>
      <c r="C20" s="1996"/>
      <c r="D20" s="1996"/>
      <c r="E20" s="1997"/>
      <c r="F20" s="369">
        <f>SUM(F16:F19)</f>
        <v>1451</v>
      </c>
      <c r="G20" s="369">
        <f>SUM(G15:G19)</f>
        <v>1450</v>
      </c>
      <c r="H20" s="369">
        <f>SUM(H15:H19)</f>
        <v>1500</v>
      </c>
      <c r="I20" s="1433">
        <f>SUM(I15:I19)</f>
        <v>1500</v>
      </c>
    </row>
    <row r="21" spans="1:9" ht="15.75" customHeight="1" thickBot="1">
      <c r="A21" s="203"/>
      <c r="B21" s="284">
        <v>4359</v>
      </c>
      <c r="C21" s="137">
        <v>5137</v>
      </c>
      <c r="D21" s="285" t="s">
        <v>490</v>
      </c>
      <c r="E21" s="59" t="s">
        <v>491</v>
      </c>
      <c r="F21" s="389">
        <v>1</v>
      </c>
      <c r="G21" s="389">
        <v>1</v>
      </c>
      <c r="H21" s="389">
        <v>0</v>
      </c>
      <c r="I21" s="1436">
        <v>0</v>
      </c>
    </row>
    <row r="22" spans="1:9" ht="15.75" customHeight="1" thickBot="1">
      <c r="A22" s="203"/>
      <c r="B22" s="284">
        <v>4359</v>
      </c>
      <c r="C22" s="137">
        <v>5139</v>
      </c>
      <c r="D22" s="285" t="s">
        <v>490</v>
      </c>
      <c r="E22" s="59" t="s">
        <v>492</v>
      </c>
      <c r="F22" s="389">
        <v>6</v>
      </c>
      <c r="G22" s="389">
        <v>6</v>
      </c>
      <c r="H22" s="389">
        <v>6</v>
      </c>
      <c r="I22" s="1436">
        <v>6</v>
      </c>
    </row>
    <row r="23" spans="1:9" ht="15.75" customHeight="1" thickBot="1">
      <c r="A23" s="203"/>
      <c r="B23" s="80">
        <v>4359</v>
      </c>
      <c r="C23" s="61">
        <v>5151</v>
      </c>
      <c r="D23" s="60" t="s">
        <v>490</v>
      </c>
      <c r="E23" s="59" t="s">
        <v>493</v>
      </c>
      <c r="F23" s="389">
        <v>12</v>
      </c>
      <c r="G23" s="389">
        <v>12</v>
      </c>
      <c r="H23" s="389">
        <v>13</v>
      </c>
      <c r="I23" s="1436">
        <v>13</v>
      </c>
    </row>
    <row r="24" spans="1:9" ht="15.75" customHeight="1" thickBot="1">
      <c r="A24" s="203"/>
      <c r="B24" s="80">
        <v>4359</v>
      </c>
      <c r="C24" s="61">
        <v>5152</v>
      </c>
      <c r="D24" s="60" t="s">
        <v>490</v>
      </c>
      <c r="E24" s="59" t="s">
        <v>494</v>
      </c>
      <c r="F24" s="389">
        <v>65</v>
      </c>
      <c r="G24" s="389">
        <v>65</v>
      </c>
      <c r="H24" s="389">
        <v>65</v>
      </c>
      <c r="I24" s="1436">
        <v>65</v>
      </c>
    </row>
    <row r="25" spans="1:9" ht="15.75" customHeight="1" thickBot="1">
      <c r="A25" s="203"/>
      <c r="B25" s="80">
        <v>4359</v>
      </c>
      <c r="C25" s="61">
        <v>5154</v>
      </c>
      <c r="D25" s="60" t="s">
        <v>490</v>
      </c>
      <c r="E25" s="59" t="s">
        <v>495</v>
      </c>
      <c r="F25" s="389">
        <v>10</v>
      </c>
      <c r="G25" s="389">
        <v>10</v>
      </c>
      <c r="H25" s="389">
        <v>10</v>
      </c>
      <c r="I25" s="1436">
        <v>10</v>
      </c>
    </row>
    <row r="26" spans="1:9" ht="15.75" customHeight="1" thickBot="1">
      <c r="A26" s="203"/>
      <c r="B26" s="80">
        <v>4359</v>
      </c>
      <c r="C26" s="61">
        <v>5169</v>
      </c>
      <c r="D26" s="60" t="s">
        <v>490</v>
      </c>
      <c r="E26" s="59" t="s">
        <v>496</v>
      </c>
      <c r="F26" s="389">
        <v>4</v>
      </c>
      <c r="G26" s="389">
        <v>4</v>
      </c>
      <c r="H26" s="389">
        <v>4</v>
      </c>
      <c r="I26" s="1436">
        <v>4</v>
      </c>
    </row>
    <row r="27" spans="1:9" ht="15.75" customHeight="1" thickBot="1">
      <c r="A27" s="203"/>
      <c r="B27" s="80">
        <v>4359</v>
      </c>
      <c r="C27" s="61">
        <v>5171</v>
      </c>
      <c r="D27" s="60" t="s">
        <v>490</v>
      </c>
      <c r="E27" s="59" t="s">
        <v>497</v>
      </c>
      <c r="F27" s="389">
        <v>2</v>
      </c>
      <c r="G27" s="389">
        <v>2</v>
      </c>
      <c r="H27" s="389">
        <v>2</v>
      </c>
      <c r="I27" s="1436">
        <v>2</v>
      </c>
    </row>
    <row r="28" spans="1:9" s="107" customFormat="1" ht="15.75" customHeight="1" thickBot="1">
      <c r="A28" s="203"/>
      <c r="B28" s="2016" t="s">
        <v>498</v>
      </c>
      <c r="C28" s="2017"/>
      <c r="D28" s="2017"/>
      <c r="E28" s="2017"/>
      <c r="F28" s="390">
        <f>SUM(F21:F27)</f>
        <v>100</v>
      </c>
      <c r="G28" s="390">
        <f>SUM(G21:G27)</f>
        <v>100</v>
      </c>
      <c r="H28" s="390">
        <f>SUM(H21:H27)</f>
        <v>100</v>
      </c>
      <c r="I28" s="1437">
        <f>SUM(I21:I27)</f>
        <v>100</v>
      </c>
    </row>
    <row r="29" spans="1:9" s="107" customFormat="1" ht="15.75" customHeight="1" thickBot="1">
      <c r="A29" s="203"/>
      <c r="B29" s="391">
        <v>3632</v>
      </c>
      <c r="C29" s="392">
        <v>5169</v>
      </c>
      <c r="D29" s="393" t="s">
        <v>499</v>
      </c>
      <c r="E29" s="394" t="s">
        <v>500</v>
      </c>
      <c r="F29" s="390">
        <v>50</v>
      </c>
      <c r="G29" s="390">
        <v>50</v>
      </c>
      <c r="H29" s="390">
        <v>30</v>
      </c>
      <c r="I29" s="1437">
        <v>30</v>
      </c>
    </row>
    <row r="30" spans="1:9" ht="15.75" customHeight="1" thickBot="1">
      <c r="A30" s="203"/>
      <c r="B30" s="391" t="s">
        <v>501</v>
      </c>
      <c r="C30" s="393" t="s">
        <v>502</v>
      </c>
      <c r="D30" s="392" t="s">
        <v>499</v>
      </c>
      <c r="E30" s="395" t="s">
        <v>503</v>
      </c>
      <c r="F30" s="390">
        <v>150</v>
      </c>
      <c r="G30" s="390">
        <f>150+25.206+20.665+19.321+10.459+29.617</f>
        <v>255.26799999999997</v>
      </c>
      <c r="H30" s="390">
        <v>150</v>
      </c>
      <c r="I30" s="1437">
        <v>150</v>
      </c>
    </row>
    <row r="31" spans="1:9" ht="15.75" customHeight="1" thickBot="1">
      <c r="A31" s="203"/>
      <c r="B31" s="80">
        <v>4349</v>
      </c>
      <c r="C31" s="61">
        <v>5136</v>
      </c>
      <c r="D31" s="60" t="s">
        <v>504</v>
      </c>
      <c r="E31" s="59" t="s">
        <v>505</v>
      </c>
      <c r="F31" s="396">
        <v>1</v>
      </c>
      <c r="G31" s="396">
        <v>1</v>
      </c>
      <c r="H31" s="396">
        <v>0</v>
      </c>
      <c r="I31" s="1438">
        <v>0</v>
      </c>
    </row>
    <row r="32" spans="1:9" ht="15.75" customHeight="1" thickBot="1">
      <c r="A32" s="203"/>
      <c r="B32" s="80">
        <v>4349</v>
      </c>
      <c r="C32" s="61">
        <v>5139</v>
      </c>
      <c r="D32" s="60" t="s">
        <v>504</v>
      </c>
      <c r="E32" s="59" t="s">
        <v>506</v>
      </c>
      <c r="F32" s="389">
        <v>1</v>
      </c>
      <c r="G32" s="396">
        <v>1</v>
      </c>
      <c r="H32" s="396">
        <v>1</v>
      </c>
      <c r="I32" s="1438">
        <v>1</v>
      </c>
    </row>
    <row r="33" spans="1:9" ht="15.75" customHeight="1" thickBot="1">
      <c r="A33" s="203"/>
      <c r="B33" s="80" t="s">
        <v>507</v>
      </c>
      <c r="C33" s="61" t="s">
        <v>189</v>
      </c>
      <c r="D33" s="60" t="s">
        <v>504</v>
      </c>
      <c r="E33" s="59" t="s">
        <v>508</v>
      </c>
      <c r="F33" s="389">
        <v>5</v>
      </c>
      <c r="G33" s="396">
        <v>5</v>
      </c>
      <c r="H33" s="396">
        <v>0</v>
      </c>
      <c r="I33" s="1438">
        <v>0</v>
      </c>
    </row>
    <row r="34" spans="1:9" ht="15.75" customHeight="1" thickBot="1">
      <c r="A34" s="203"/>
      <c r="B34" s="80" t="s">
        <v>507</v>
      </c>
      <c r="C34" s="61" t="s">
        <v>75</v>
      </c>
      <c r="D34" s="60" t="s">
        <v>504</v>
      </c>
      <c r="E34" s="59" t="s">
        <v>509</v>
      </c>
      <c r="F34" s="389">
        <v>1</v>
      </c>
      <c r="G34" s="396">
        <v>1</v>
      </c>
      <c r="H34" s="396">
        <v>0</v>
      </c>
      <c r="I34" s="1438">
        <v>0</v>
      </c>
    </row>
    <row r="35" spans="1:9" ht="15.75" customHeight="1" thickBot="1">
      <c r="A35" s="203"/>
      <c r="B35" s="80">
        <v>4349</v>
      </c>
      <c r="C35" s="61">
        <v>5169</v>
      </c>
      <c r="D35" s="60" t="s">
        <v>504</v>
      </c>
      <c r="E35" s="59" t="s">
        <v>510</v>
      </c>
      <c r="F35" s="397">
        <v>100</v>
      </c>
      <c r="G35" s="396">
        <v>100</v>
      </c>
      <c r="H35" s="396">
        <v>14</v>
      </c>
      <c r="I35" s="1438">
        <v>14</v>
      </c>
    </row>
    <row r="36" spans="1:9" ht="15.75" customHeight="1" thickBot="1">
      <c r="A36" s="203"/>
      <c r="B36" s="80">
        <v>4349</v>
      </c>
      <c r="C36" s="61">
        <v>5175</v>
      </c>
      <c r="D36" s="60" t="s">
        <v>504</v>
      </c>
      <c r="E36" s="59" t="s">
        <v>210</v>
      </c>
      <c r="F36" s="389">
        <v>5</v>
      </c>
      <c r="G36" s="396">
        <v>5</v>
      </c>
      <c r="H36" s="396">
        <v>5</v>
      </c>
      <c r="I36" s="1438">
        <v>5</v>
      </c>
    </row>
    <row r="37" spans="1:9" ht="15.75" customHeight="1" thickBot="1">
      <c r="A37" s="203"/>
      <c r="B37" s="80">
        <v>4349</v>
      </c>
      <c r="C37" s="398" t="s">
        <v>511</v>
      </c>
      <c r="D37" s="60" t="s">
        <v>504</v>
      </c>
      <c r="E37" s="399" t="s">
        <v>512</v>
      </c>
      <c r="F37" s="389">
        <v>1</v>
      </c>
      <c r="G37" s="396">
        <v>1</v>
      </c>
      <c r="H37" s="396">
        <v>0</v>
      </c>
      <c r="I37" s="1438">
        <v>0</v>
      </c>
    </row>
    <row r="38" spans="1:9" ht="15.75" customHeight="1" thickBot="1">
      <c r="A38" s="203"/>
      <c r="B38" s="2018" t="s">
        <v>513</v>
      </c>
      <c r="C38" s="2019"/>
      <c r="D38" s="2019"/>
      <c r="E38" s="2020"/>
      <c r="F38" s="400">
        <f>SUM(F31:F37)</f>
        <v>114</v>
      </c>
      <c r="G38" s="400">
        <f>SUM(G31:G37)</f>
        <v>114</v>
      </c>
      <c r="H38" s="400">
        <f>SUM(H31:H37)</f>
        <v>20</v>
      </c>
      <c r="I38" s="1439">
        <f>SUM(I31:I37)</f>
        <v>20</v>
      </c>
    </row>
    <row r="39" spans="1:9" ht="15.75" customHeight="1" thickBot="1">
      <c r="A39" s="203"/>
      <c r="B39" s="391">
        <v>4399</v>
      </c>
      <c r="C39" s="393">
        <v>5169</v>
      </c>
      <c r="D39" s="392" t="s">
        <v>514</v>
      </c>
      <c r="E39" s="395" t="s">
        <v>515</v>
      </c>
      <c r="F39" s="400">
        <v>2</v>
      </c>
      <c r="G39" s="400">
        <f>2-1.8</f>
        <v>0.19999999999999996</v>
      </c>
      <c r="H39" s="400">
        <v>2</v>
      </c>
      <c r="I39" s="1439">
        <v>2</v>
      </c>
    </row>
    <row r="40" spans="1:9" ht="15.75" customHeight="1" thickBot="1">
      <c r="A40" s="203"/>
      <c r="B40" s="391">
        <v>4399</v>
      </c>
      <c r="C40" s="393">
        <v>5138</v>
      </c>
      <c r="D40" s="392" t="s">
        <v>514</v>
      </c>
      <c r="E40" s="395" t="s">
        <v>516</v>
      </c>
      <c r="F40" s="400">
        <v>10</v>
      </c>
      <c r="G40" s="400">
        <f>10+1.8</f>
        <v>11.8</v>
      </c>
      <c r="H40" s="400">
        <v>12</v>
      </c>
      <c r="I40" s="1439">
        <v>12</v>
      </c>
    </row>
    <row r="41" spans="1:9" ht="15.75" customHeight="1" thickBot="1">
      <c r="A41" s="203">
        <v>551</v>
      </c>
      <c r="B41" s="2021" t="s">
        <v>768</v>
      </c>
      <c r="C41" s="2022"/>
      <c r="D41" s="2022"/>
      <c r="E41" s="2022"/>
      <c r="F41" s="340">
        <f>SUM(F28:F30,F38:F40)</f>
        <v>426</v>
      </c>
      <c r="G41" s="340">
        <f t="shared" ref="G41:H41" si="0">SUM(G28:G30,G38:G40)</f>
        <v>531.26800000000003</v>
      </c>
      <c r="H41" s="340">
        <f t="shared" si="0"/>
        <v>314</v>
      </c>
      <c r="I41" s="1366">
        <f t="shared" ref="I41" si="1">SUM(I28:I30,I38:I40)</f>
        <v>314</v>
      </c>
    </row>
    <row r="42" spans="1:9" ht="15.75" hidden="1" customHeight="1" thickBot="1">
      <c r="A42" s="203"/>
      <c r="B42" s="80">
        <v>4399</v>
      </c>
      <c r="C42" s="61" t="s">
        <v>75</v>
      </c>
      <c r="D42" s="61" t="s">
        <v>517</v>
      </c>
      <c r="E42" s="59" t="s">
        <v>518</v>
      </c>
      <c r="F42" s="389">
        <v>0</v>
      </c>
      <c r="G42" s="389">
        <v>20</v>
      </c>
      <c r="H42" s="389">
        <v>0</v>
      </c>
      <c r="I42" s="1440">
        <v>0</v>
      </c>
    </row>
    <row r="43" spans="1:9" ht="15.75" hidden="1" customHeight="1" thickBot="1">
      <c r="A43" s="203"/>
      <c r="B43" s="80">
        <v>4399</v>
      </c>
      <c r="C43" s="61" t="s">
        <v>56</v>
      </c>
      <c r="D43" s="61" t="s">
        <v>517</v>
      </c>
      <c r="E43" s="59" t="s">
        <v>519</v>
      </c>
      <c r="F43" s="389">
        <v>0</v>
      </c>
      <c r="G43" s="389">
        <v>20</v>
      </c>
      <c r="H43" s="389">
        <v>0</v>
      </c>
      <c r="I43" s="1440">
        <v>0</v>
      </c>
    </row>
    <row r="44" spans="1:9" ht="15.75" hidden="1" customHeight="1" thickBot="1">
      <c r="A44" s="203"/>
      <c r="B44" s="80">
        <v>4399</v>
      </c>
      <c r="C44" s="61" t="s">
        <v>520</v>
      </c>
      <c r="D44" s="61" t="s">
        <v>517</v>
      </c>
      <c r="E44" s="59" t="s">
        <v>521</v>
      </c>
      <c r="F44" s="389">
        <v>0</v>
      </c>
      <c r="G44" s="389">
        <v>20</v>
      </c>
      <c r="H44" s="389">
        <v>0</v>
      </c>
      <c r="I44" s="1440">
        <v>0</v>
      </c>
    </row>
    <row r="45" spans="1:9" ht="15.75" customHeight="1" thickBot="1">
      <c r="A45" s="203"/>
      <c r="B45" s="80">
        <v>4399</v>
      </c>
      <c r="C45" s="61" t="s">
        <v>157</v>
      </c>
      <c r="D45" s="61" t="s">
        <v>517</v>
      </c>
      <c r="E45" s="59" t="s">
        <v>522</v>
      </c>
      <c r="F45" s="389">
        <v>0</v>
      </c>
      <c r="G45" s="389">
        <v>24</v>
      </c>
      <c r="H45" s="389">
        <v>0</v>
      </c>
      <c r="I45" s="1440">
        <v>669.66</v>
      </c>
    </row>
    <row r="46" spans="1:9" ht="15.75" customHeight="1" thickBot="1">
      <c r="A46" s="203"/>
      <c r="B46" s="1995" t="s">
        <v>523</v>
      </c>
      <c r="C46" s="1996"/>
      <c r="D46" s="1996"/>
      <c r="E46" s="1997"/>
      <c r="F46" s="340">
        <f>SUM(F42:F45)</f>
        <v>0</v>
      </c>
      <c r="G46" s="340">
        <f>SUM(G42:G45)</f>
        <v>84</v>
      </c>
      <c r="H46" s="340">
        <f>SUM(H42:H45)</f>
        <v>0</v>
      </c>
      <c r="I46" s="1366">
        <f>SUM(I42:I45)</f>
        <v>669.66</v>
      </c>
    </row>
    <row r="47" spans="1:9" ht="15.75" hidden="1" customHeight="1" thickBot="1">
      <c r="A47" s="203"/>
      <c r="B47" s="80">
        <v>6171</v>
      </c>
      <c r="C47" s="61">
        <v>5136</v>
      </c>
      <c r="D47" s="61" t="s">
        <v>524</v>
      </c>
      <c r="E47" s="59" t="s">
        <v>505</v>
      </c>
      <c r="F47" s="389">
        <v>0</v>
      </c>
      <c r="G47" s="389">
        <v>3.3530000000000002</v>
      </c>
      <c r="H47" s="389">
        <v>0</v>
      </c>
      <c r="I47" s="1440">
        <v>0</v>
      </c>
    </row>
    <row r="48" spans="1:9" ht="15.75" hidden="1" customHeight="1" thickBot="1">
      <c r="A48" s="203"/>
      <c r="B48" s="80">
        <v>6171</v>
      </c>
      <c r="C48" s="61" t="s">
        <v>65</v>
      </c>
      <c r="D48" s="61" t="s">
        <v>524</v>
      </c>
      <c r="E48" s="59" t="s">
        <v>525</v>
      </c>
      <c r="F48" s="389">
        <v>0</v>
      </c>
      <c r="G48" s="389">
        <v>0</v>
      </c>
      <c r="H48" s="389">
        <v>0</v>
      </c>
      <c r="I48" s="1440">
        <v>0</v>
      </c>
    </row>
    <row r="49" spans="1:9" ht="15.75" hidden="1" customHeight="1" thickBot="1">
      <c r="A49" s="203"/>
      <c r="B49" s="80">
        <v>6171</v>
      </c>
      <c r="C49" s="61">
        <v>5139</v>
      </c>
      <c r="D49" s="61" t="s">
        <v>524</v>
      </c>
      <c r="E49" s="59" t="s">
        <v>506</v>
      </c>
      <c r="F49" s="389">
        <v>0</v>
      </c>
      <c r="G49" s="389">
        <v>15</v>
      </c>
      <c r="H49" s="389">
        <v>0</v>
      </c>
      <c r="I49" s="1440">
        <v>0</v>
      </c>
    </row>
    <row r="50" spans="1:9" ht="15.75" hidden="1" customHeight="1" thickBot="1">
      <c r="A50" s="203"/>
      <c r="B50" s="80">
        <v>6171</v>
      </c>
      <c r="C50" s="61" t="s">
        <v>526</v>
      </c>
      <c r="D50" s="61" t="s">
        <v>524</v>
      </c>
      <c r="E50" s="59" t="s">
        <v>527</v>
      </c>
      <c r="F50" s="389">
        <v>0</v>
      </c>
      <c r="G50" s="389">
        <v>150</v>
      </c>
      <c r="H50" s="389">
        <v>0</v>
      </c>
      <c r="I50" s="1440">
        <v>0</v>
      </c>
    </row>
    <row r="51" spans="1:9" ht="15.75" hidden="1" customHeight="1" thickBot="1">
      <c r="A51" s="203"/>
      <c r="B51" s="80">
        <v>6171</v>
      </c>
      <c r="C51" s="61" t="s">
        <v>366</v>
      </c>
      <c r="D51" s="61" t="s">
        <v>524</v>
      </c>
      <c r="E51" s="59" t="s">
        <v>528</v>
      </c>
      <c r="F51" s="389">
        <v>0</v>
      </c>
      <c r="G51" s="389">
        <v>32</v>
      </c>
      <c r="H51" s="389">
        <v>0</v>
      </c>
      <c r="I51" s="1440">
        <v>0</v>
      </c>
    </row>
    <row r="52" spans="1:9" ht="15.75" hidden="1" customHeight="1" thickBot="1">
      <c r="A52" s="203"/>
      <c r="B52" s="80">
        <v>6171</v>
      </c>
      <c r="C52" s="61">
        <v>5169</v>
      </c>
      <c r="D52" s="61" t="s">
        <v>524</v>
      </c>
      <c r="E52" s="59" t="s">
        <v>55</v>
      </c>
      <c r="F52" s="389">
        <v>0</v>
      </c>
      <c r="G52" s="389">
        <v>9</v>
      </c>
      <c r="H52" s="389">
        <v>0</v>
      </c>
      <c r="I52" s="1440">
        <v>0</v>
      </c>
    </row>
    <row r="53" spans="1:9" ht="15.75" hidden="1" customHeight="1" thickBot="1">
      <c r="A53" s="203"/>
      <c r="B53" s="80">
        <v>6171</v>
      </c>
      <c r="C53" s="61">
        <v>5171</v>
      </c>
      <c r="D53" s="61" t="s">
        <v>524</v>
      </c>
      <c r="E53" s="59" t="s">
        <v>53</v>
      </c>
      <c r="F53" s="389">
        <v>0</v>
      </c>
      <c r="G53" s="389">
        <v>0</v>
      </c>
      <c r="H53" s="389">
        <v>0</v>
      </c>
      <c r="I53" s="1440">
        <v>0</v>
      </c>
    </row>
    <row r="54" spans="1:9" ht="15.75" hidden="1" customHeight="1" thickBot="1">
      <c r="A54" s="203"/>
      <c r="B54" s="80">
        <v>6171</v>
      </c>
      <c r="C54" s="61" t="s">
        <v>529</v>
      </c>
      <c r="D54" s="61" t="s">
        <v>524</v>
      </c>
      <c r="E54" s="59" t="s">
        <v>116</v>
      </c>
      <c r="F54" s="389">
        <v>0</v>
      </c>
      <c r="G54" s="389">
        <v>13</v>
      </c>
      <c r="H54" s="389">
        <v>0</v>
      </c>
      <c r="I54" s="1440">
        <v>0</v>
      </c>
    </row>
    <row r="55" spans="1:9" ht="15.75" customHeight="1" thickBot="1">
      <c r="A55" s="203">
        <v>581</v>
      </c>
      <c r="B55" s="1995" t="s">
        <v>530</v>
      </c>
      <c r="C55" s="1996"/>
      <c r="D55" s="1996"/>
      <c r="E55" s="1997"/>
      <c r="F55" s="340">
        <v>0</v>
      </c>
      <c r="G55" s="340">
        <f>SUM(G47:G54)</f>
        <v>222.35300000000001</v>
      </c>
      <c r="H55" s="340">
        <f>SUM(H47:H54)</f>
        <v>0</v>
      </c>
      <c r="I55" s="1366">
        <f>SUM(I47:I54)</f>
        <v>0</v>
      </c>
    </row>
    <row r="56" spans="1:9" ht="15.75" customHeight="1" thickBot="1">
      <c r="A56" s="203"/>
      <c r="B56" s="322">
        <v>3612</v>
      </c>
      <c r="C56" s="323">
        <v>5164</v>
      </c>
      <c r="D56" s="323">
        <v>723</v>
      </c>
      <c r="E56" s="324" t="s">
        <v>531</v>
      </c>
      <c r="F56" s="340">
        <v>0</v>
      </c>
      <c r="G56" s="340">
        <v>72</v>
      </c>
      <c r="H56" s="340">
        <v>0</v>
      </c>
      <c r="I56" s="1366">
        <v>0</v>
      </c>
    </row>
    <row r="57" spans="1:9" ht="15.75" customHeight="1" thickBot="1">
      <c r="A57" s="203"/>
      <c r="B57" s="401">
        <v>6171</v>
      </c>
      <c r="C57" s="384">
        <v>5492</v>
      </c>
      <c r="D57" s="384" t="s">
        <v>532</v>
      </c>
      <c r="E57" s="402" t="s">
        <v>533</v>
      </c>
      <c r="F57" s="403">
        <v>0</v>
      </c>
      <c r="G57" s="403">
        <v>210</v>
      </c>
      <c r="H57" s="403">
        <v>0</v>
      </c>
      <c r="I57" s="1441">
        <v>0</v>
      </c>
    </row>
    <row r="58" spans="1:9" ht="15.75" customHeight="1" thickBot="1">
      <c r="A58" s="203"/>
      <c r="B58" s="401">
        <v>6171</v>
      </c>
      <c r="C58" s="384" t="s">
        <v>157</v>
      </c>
      <c r="D58" s="384" t="s">
        <v>532</v>
      </c>
      <c r="E58" s="402" t="s">
        <v>534</v>
      </c>
      <c r="F58" s="403">
        <v>200</v>
      </c>
      <c r="G58" s="403">
        <f>200+10-210</f>
        <v>0</v>
      </c>
      <c r="H58" s="403">
        <v>200</v>
      </c>
      <c r="I58" s="1441">
        <v>200</v>
      </c>
    </row>
    <row r="59" spans="1:9" ht="15.75" customHeight="1" thickBot="1">
      <c r="A59" s="203">
        <v>591</v>
      </c>
      <c r="B59" s="1995" t="s">
        <v>535</v>
      </c>
      <c r="C59" s="1996"/>
      <c r="D59" s="1996"/>
      <c r="E59" s="1997"/>
      <c r="F59" s="404">
        <f>SUM(F57:F58)</f>
        <v>200</v>
      </c>
      <c r="G59" s="404">
        <f>SUM(G57:G58)</f>
        <v>210</v>
      </c>
      <c r="H59" s="404">
        <f>SUM(H57:H58)</f>
        <v>200</v>
      </c>
      <c r="I59" s="1394">
        <f>SUM(I57:I58)</f>
        <v>200</v>
      </c>
    </row>
    <row r="60" spans="1:9" ht="15.75" hidden="1" customHeight="1" thickBot="1">
      <c r="A60" s="203">
        <v>592</v>
      </c>
      <c r="B60" s="329">
        <v>4399</v>
      </c>
      <c r="C60" s="830">
        <v>5660</v>
      </c>
      <c r="D60" s="246">
        <v>4102</v>
      </c>
      <c r="E60" s="405" t="s">
        <v>536</v>
      </c>
      <c r="F60" s="404">
        <v>0</v>
      </c>
      <c r="G60" s="404">
        <v>0</v>
      </c>
      <c r="H60" s="404">
        <v>0</v>
      </c>
      <c r="I60" s="1394">
        <v>0</v>
      </c>
    </row>
    <row r="61" spans="1:9" ht="15.75" customHeight="1" thickBot="1">
      <c r="A61" s="203">
        <v>595</v>
      </c>
      <c r="B61" s="326">
        <v>4351</v>
      </c>
      <c r="C61" s="261">
        <v>5331</v>
      </c>
      <c r="D61" s="327">
        <v>9302</v>
      </c>
      <c r="E61" s="328" t="s">
        <v>537</v>
      </c>
      <c r="F61" s="55">
        <v>15000</v>
      </c>
      <c r="G61" s="55">
        <v>15000</v>
      </c>
      <c r="H61" s="55">
        <v>15000</v>
      </c>
      <c r="I61" s="1362">
        <v>15000</v>
      </c>
    </row>
    <row r="62" spans="1:9" s="17" customFormat="1" ht="6" customHeight="1" thickTop="1" thickBot="1">
      <c r="A62" s="239"/>
      <c r="B62" s="22"/>
      <c r="C62" s="22"/>
      <c r="D62" s="21"/>
      <c r="E62" s="20"/>
      <c r="F62" s="406"/>
      <c r="G62" s="406"/>
      <c r="H62" s="406"/>
      <c r="I62" s="406"/>
    </row>
    <row r="63" spans="1:9" s="46" customFormat="1" ht="15.75" customHeight="1" thickTop="1" thickBot="1">
      <c r="A63" s="203">
        <v>51</v>
      </c>
      <c r="B63" s="16"/>
      <c r="C63" s="16"/>
      <c r="D63" s="16"/>
      <c r="E63" s="349" t="s">
        <v>30</v>
      </c>
      <c r="F63" s="407">
        <f>SUM(F7:F14,F20,F41,F46,F55:F56,F59:F61)</f>
        <v>17327</v>
      </c>
      <c r="G63" s="407">
        <f t="shared" ref="G63:H63" si="2">SUM(G7:G14,G20,G41,G46,G55:G56,G59:G61)</f>
        <v>20274.620999999999</v>
      </c>
      <c r="H63" s="407">
        <f t="shared" si="2"/>
        <v>17264</v>
      </c>
      <c r="I63" s="1329">
        <f t="shared" ref="I63" si="3">SUM(I7:I14,I20,I41,I46,I55:I56,I59:I61)</f>
        <v>17933.66</v>
      </c>
    </row>
    <row r="64" spans="1:9" s="46" customFormat="1" ht="15.75" hidden="1" customHeight="1" thickTop="1">
      <c r="A64" s="203"/>
      <c r="B64" s="16"/>
      <c r="C64" s="16"/>
      <c r="D64" s="16"/>
      <c r="E64" s="408"/>
      <c r="F64" s="409"/>
      <c r="G64" s="409"/>
      <c r="H64" s="409"/>
      <c r="I64" s="409"/>
    </row>
    <row r="65" spans="1:9" s="46" customFormat="1" ht="15.75" hidden="1" customHeight="1">
      <c r="A65" s="203"/>
      <c r="B65" s="16"/>
      <c r="C65" s="16"/>
      <c r="D65" s="16"/>
      <c r="E65" s="408"/>
      <c r="F65" s="409"/>
      <c r="G65" s="409"/>
      <c r="H65" s="409"/>
      <c r="I65" s="409"/>
    </row>
    <row r="66" spans="1:9" s="46" customFormat="1" ht="15.75" hidden="1" customHeight="1">
      <c r="A66" s="203"/>
      <c r="B66" s="16"/>
      <c r="C66" s="16"/>
      <c r="D66" s="16"/>
      <c r="E66" s="408"/>
      <c r="F66" s="409"/>
      <c r="G66" s="409"/>
      <c r="H66" s="409"/>
      <c r="I66" s="409"/>
    </row>
    <row r="67" spans="1:9" s="46" customFormat="1" ht="15.75" hidden="1" customHeight="1" thickBot="1">
      <c r="A67" s="203"/>
      <c r="B67" s="16"/>
      <c r="C67" s="16"/>
      <c r="D67" s="16"/>
      <c r="E67" s="408"/>
      <c r="F67" s="409"/>
      <c r="G67" s="409"/>
      <c r="H67" s="409"/>
      <c r="I67" s="409"/>
    </row>
    <row r="68" spans="1:9" s="46" customFormat="1" ht="15.75" hidden="1" customHeight="1" thickTop="1">
      <c r="A68" s="203"/>
      <c r="B68" s="410"/>
      <c r="C68" s="411"/>
      <c r="D68" s="411"/>
      <c r="E68" s="412"/>
      <c r="F68" s="1965" t="s">
        <v>44</v>
      </c>
      <c r="G68" s="1971" t="s">
        <v>43</v>
      </c>
      <c r="H68" s="1971"/>
      <c r="I68" s="269"/>
    </row>
    <row r="69" spans="1:9" s="46" customFormat="1" ht="15.75" hidden="1" customHeight="1">
      <c r="A69" s="203"/>
      <c r="B69" s="413" t="s">
        <v>42</v>
      </c>
      <c r="C69" s="414" t="s">
        <v>41</v>
      </c>
      <c r="D69" s="414" t="s">
        <v>40</v>
      </c>
      <c r="E69" s="415"/>
      <c r="F69" s="1966"/>
      <c r="G69" s="1972"/>
      <c r="H69" s="1972"/>
      <c r="I69" s="270"/>
    </row>
    <row r="70" spans="1:9" s="46" customFormat="1" ht="15.75" hidden="1" customHeight="1" thickBot="1">
      <c r="A70" s="203"/>
      <c r="B70" s="416"/>
      <c r="C70" s="417"/>
      <c r="D70" s="417"/>
      <c r="E70" s="418" t="s">
        <v>38</v>
      </c>
      <c r="F70" s="1967"/>
      <c r="G70" s="1973"/>
      <c r="H70" s="1973"/>
      <c r="I70" s="271"/>
    </row>
    <row r="71" spans="1:9" s="46" customFormat="1" ht="15.75" hidden="1" customHeight="1" thickTop="1" thickBot="1">
      <c r="A71" s="203">
        <v>601</v>
      </c>
      <c r="B71" s="419">
        <v>4399</v>
      </c>
      <c r="C71" s="420">
        <v>6322</v>
      </c>
      <c r="D71" s="420">
        <v>1079</v>
      </c>
      <c r="E71" s="421" t="s">
        <v>538</v>
      </c>
      <c r="F71" s="422">
        <v>0</v>
      </c>
      <c r="G71" s="423">
        <v>0</v>
      </c>
      <c r="H71" s="423"/>
      <c r="I71" s="437"/>
    </row>
    <row r="72" spans="1:9" s="46" customFormat="1" ht="9.75" hidden="1" customHeight="1" thickTop="1" thickBot="1">
      <c r="A72" s="203"/>
      <c r="B72" s="424"/>
      <c r="C72" s="424"/>
      <c r="D72" s="424"/>
      <c r="E72" s="425"/>
      <c r="F72" s="351"/>
      <c r="G72" s="351"/>
      <c r="H72" s="351"/>
      <c r="I72" s="351"/>
    </row>
    <row r="73" spans="1:9" s="347" customFormat="1" ht="15.75" hidden="1" customHeight="1" thickTop="1" thickBot="1">
      <c r="A73" s="209"/>
      <c r="B73" s="426"/>
      <c r="C73" s="426"/>
      <c r="D73" s="426"/>
      <c r="E73" s="427" t="s">
        <v>32</v>
      </c>
      <c r="F73" s="428">
        <f>SUM(F71:F71)</f>
        <v>0</v>
      </c>
      <c r="G73" s="429">
        <f>SUM(G71:G71)</f>
        <v>0</v>
      </c>
      <c r="H73" s="429"/>
      <c r="I73" s="438"/>
    </row>
    <row r="74" spans="1:9" s="44" customFormat="1" ht="7.5" customHeight="1" thickTop="1" thickBot="1">
      <c r="A74" s="203"/>
      <c r="B74" s="430"/>
      <c r="C74" s="430"/>
      <c r="D74" s="430"/>
      <c r="E74" s="431"/>
      <c r="F74" s="432"/>
      <c r="G74" s="432"/>
      <c r="H74" s="432"/>
      <c r="I74" s="432"/>
    </row>
    <row r="75" spans="1:9" ht="15.75" customHeight="1" thickTop="1" thickBot="1">
      <c r="B75" s="433"/>
      <c r="C75" s="434"/>
      <c r="D75" s="434"/>
      <c r="E75" s="435" t="s">
        <v>539</v>
      </c>
      <c r="F75" s="436">
        <f>SUM(F63,F73)</f>
        <v>17327</v>
      </c>
      <c r="G75" s="436">
        <f>SUM(G63,G73)</f>
        <v>20274.620999999999</v>
      </c>
      <c r="H75" s="436">
        <f>SUM(H63,H73)</f>
        <v>17264</v>
      </c>
      <c r="I75" s="1442">
        <f>SUM(I63,I73)</f>
        <v>17933.66</v>
      </c>
    </row>
    <row r="76" spans="1:9" ht="15.75" customHeight="1" thickTop="1">
      <c r="B76" s="368"/>
      <c r="C76" s="368"/>
      <c r="D76" s="368"/>
      <c r="E76" s="368"/>
    </row>
    <row r="77" spans="1:9" ht="15.75" customHeight="1">
      <c r="B77" s="368"/>
      <c r="C77" s="368"/>
      <c r="D77" s="368"/>
      <c r="E77" s="368"/>
    </row>
    <row r="78" spans="1:9" ht="15.75" customHeight="1">
      <c r="B78" s="368"/>
      <c r="C78" s="368"/>
      <c r="D78" s="368"/>
      <c r="E78" s="368"/>
    </row>
    <row r="79" spans="1:9" ht="15.75" customHeight="1">
      <c r="B79" s="368"/>
      <c r="C79" s="368"/>
      <c r="D79" s="368"/>
      <c r="E79" s="368"/>
    </row>
    <row r="80" spans="1:9" ht="15.75" customHeight="1">
      <c r="B80" s="368"/>
      <c r="C80" s="368"/>
      <c r="D80" s="368"/>
      <c r="E80" s="368"/>
    </row>
    <row r="81" spans="1:10" ht="15.75" customHeight="1">
      <c r="B81" s="368"/>
      <c r="C81" s="368"/>
      <c r="D81" s="368"/>
      <c r="E81" s="368"/>
    </row>
    <row r="82" spans="1:10" ht="15.75" customHeight="1">
      <c r="B82" s="368"/>
      <c r="C82" s="368"/>
      <c r="D82" s="368"/>
      <c r="E82" s="368"/>
    </row>
    <row r="83" spans="1:10" ht="15.75" customHeight="1">
      <c r="B83" s="368"/>
      <c r="C83" s="368"/>
      <c r="D83" s="368"/>
      <c r="E83" s="368"/>
    </row>
    <row r="84" spans="1:10" ht="15.75" customHeight="1">
      <c r="B84" s="368"/>
      <c r="C84" s="368"/>
      <c r="D84" s="368"/>
      <c r="E84" s="368"/>
    </row>
    <row r="85" spans="1:10" ht="15.75" customHeight="1">
      <c r="B85" s="368"/>
      <c r="C85" s="368"/>
      <c r="D85" s="368"/>
      <c r="E85" s="368"/>
    </row>
    <row r="86" spans="1:10" ht="15.75" customHeight="1">
      <c r="B86" s="368"/>
      <c r="C86" s="368"/>
      <c r="D86" s="368"/>
      <c r="E86" s="368"/>
    </row>
    <row r="87" spans="1:10" ht="15.75" customHeight="1">
      <c r="B87" s="368"/>
      <c r="C87" s="368"/>
      <c r="D87" s="368"/>
      <c r="E87" s="368"/>
    </row>
    <row r="88" spans="1:10" ht="15.75" customHeight="1">
      <c r="B88" s="368"/>
      <c r="C88" s="368"/>
      <c r="D88" s="368"/>
      <c r="E88" s="368"/>
    </row>
    <row r="89" spans="1:10" s="370" customFormat="1" ht="15.75" customHeight="1">
      <c r="A89" s="156"/>
      <c r="B89" s="368"/>
      <c r="C89" s="368"/>
      <c r="D89" s="368"/>
      <c r="E89" s="368"/>
      <c r="J89" s="1"/>
    </row>
    <row r="90" spans="1:10" s="370" customFormat="1" ht="15.75" customHeight="1">
      <c r="A90" s="156"/>
      <c r="B90" s="368"/>
      <c r="C90" s="368"/>
      <c r="D90" s="368"/>
      <c r="E90" s="368"/>
      <c r="J90" s="1"/>
    </row>
    <row r="91" spans="1:10" s="370" customFormat="1" ht="15.75" customHeight="1">
      <c r="A91" s="156"/>
      <c r="B91" s="368"/>
      <c r="C91" s="368"/>
      <c r="D91" s="368"/>
      <c r="E91" s="368"/>
      <c r="J91" s="1"/>
    </row>
    <row r="92" spans="1:10" s="370" customFormat="1" ht="15.75" customHeight="1">
      <c r="A92" s="156"/>
      <c r="B92" s="368"/>
      <c r="C92" s="368"/>
      <c r="D92" s="368"/>
      <c r="E92" s="368"/>
      <c r="J92" s="1"/>
    </row>
    <row r="93" spans="1:10" s="370" customFormat="1" ht="15.75" customHeight="1">
      <c r="A93" s="156"/>
      <c r="B93" s="368"/>
      <c r="C93" s="368"/>
      <c r="D93" s="368"/>
      <c r="E93" s="368"/>
      <c r="J93" s="1"/>
    </row>
    <row r="94" spans="1:10" s="370" customFormat="1" ht="15.75" customHeight="1">
      <c r="A94" s="156"/>
      <c r="B94" s="368"/>
      <c r="C94" s="368"/>
      <c r="D94" s="368"/>
      <c r="E94" s="368"/>
      <c r="J94" s="1"/>
    </row>
    <row r="95" spans="1:10" s="370" customFormat="1" ht="15.75" customHeight="1">
      <c r="A95" s="156"/>
      <c r="B95" s="368"/>
      <c r="C95" s="368"/>
      <c r="D95" s="368"/>
      <c r="E95" s="368"/>
      <c r="J95" s="1"/>
    </row>
    <row r="96" spans="1:10" s="370" customFormat="1" ht="15.75" customHeight="1">
      <c r="A96" s="156"/>
      <c r="B96" s="368"/>
      <c r="C96" s="368"/>
      <c r="D96" s="368"/>
      <c r="E96" s="368"/>
      <c r="J96" s="1"/>
    </row>
    <row r="97" spans="1:10" s="370" customFormat="1" ht="15.75" customHeight="1">
      <c r="A97" s="156"/>
      <c r="B97" s="368"/>
      <c r="C97" s="368"/>
      <c r="D97" s="368"/>
      <c r="E97" s="368"/>
      <c r="J97" s="1"/>
    </row>
    <row r="98" spans="1:10" s="370" customFormat="1" ht="15.75" customHeight="1">
      <c r="A98" s="156"/>
      <c r="B98" s="368"/>
      <c r="C98" s="368"/>
      <c r="D98" s="368"/>
      <c r="E98" s="368"/>
      <c r="J98" s="1"/>
    </row>
    <row r="99" spans="1:10" s="370" customFormat="1" ht="15.75" customHeight="1">
      <c r="A99" s="156"/>
      <c r="B99" s="368"/>
      <c r="C99" s="368"/>
      <c r="D99" s="368"/>
      <c r="E99" s="368"/>
      <c r="J99" s="1"/>
    </row>
    <row r="100" spans="1:10" s="370" customFormat="1" ht="15.75" customHeight="1">
      <c r="A100" s="156"/>
      <c r="B100" s="368"/>
      <c r="C100" s="368"/>
      <c r="D100" s="368"/>
      <c r="E100" s="368"/>
      <c r="J100" s="1"/>
    </row>
    <row r="101" spans="1:10" s="370" customFormat="1" ht="15.75" customHeight="1">
      <c r="A101" s="156"/>
      <c r="B101" s="368"/>
      <c r="C101" s="368"/>
      <c r="D101" s="368"/>
      <c r="E101" s="368"/>
      <c r="J101" s="1"/>
    </row>
    <row r="102" spans="1:10" s="370" customFormat="1" ht="15.75" customHeight="1">
      <c r="A102" s="156"/>
      <c r="B102" s="368"/>
      <c r="C102" s="368"/>
      <c r="D102" s="368"/>
      <c r="E102" s="368"/>
      <c r="J102" s="1"/>
    </row>
    <row r="103" spans="1:10" s="370" customFormat="1" ht="15.75" customHeight="1">
      <c r="A103" s="156"/>
      <c r="B103" s="368"/>
      <c r="C103" s="368"/>
      <c r="D103" s="368"/>
      <c r="E103" s="368"/>
      <c r="J103" s="1"/>
    </row>
    <row r="104" spans="1:10" s="370" customFormat="1" ht="15.75" customHeight="1">
      <c r="A104" s="156"/>
      <c r="B104" s="368"/>
      <c r="C104" s="368"/>
      <c r="D104" s="368"/>
      <c r="E104" s="368"/>
      <c r="J104" s="1"/>
    </row>
    <row r="105" spans="1:10" s="370" customFormat="1" ht="15.75" customHeight="1">
      <c r="A105" s="156"/>
      <c r="B105" s="368"/>
      <c r="C105" s="368"/>
      <c r="D105" s="368"/>
      <c r="E105" s="368"/>
      <c r="J105" s="1"/>
    </row>
    <row r="106" spans="1:10" s="370" customFormat="1" ht="15.75" customHeight="1">
      <c r="A106" s="156"/>
      <c r="B106" s="368"/>
      <c r="C106" s="368"/>
      <c r="D106" s="368"/>
      <c r="E106" s="368"/>
      <c r="J106" s="1"/>
    </row>
    <row r="107" spans="1:10" s="370" customFormat="1" ht="15.75" customHeight="1">
      <c r="A107" s="156"/>
      <c r="B107" s="368"/>
      <c r="C107" s="368"/>
      <c r="D107" s="368"/>
      <c r="E107" s="368"/>
      <c r="J107" s="1"/>
    </row>
    <row r="108" spans="1:10" s="370" customFormat="1" ht="15.75" customHeight="1">
      <c r="A108" s="156"/>
      <c r="B108" s="368"/>
      <c r="C108" s="368"/>
      <c r="D108" s="368"/>
      <c r="E108" s="368"/>
      <c r="J108" s="1"/>
    </row>
    <row r="109" spans="1:10" s="370" customFormat="1" ht="15.75" customHeight="1">
      <c r="A109" s="156"/>
      <c r="B109" s="368"/>
      <c r="C109" s="368"/>
      <c r="D109" s="368"/>
      <c r="E109" s="368"/>
      <c r="J109" s="1"/>
    </row>
    <row r="110" spans="1:10" s="370" customFormat="1" ht="15.75" customHeight="1">
      <c r="A110" s="156"/>
      <c r="B110" s="368"/>
      <c r="C110" s="368"/>
      <c r="D110" s="368"/>
      <c r="E110" s="368"/>
      <c r="J110" s="1"/>
    </row>
    <row r="111" spans="1:10" s="370" customFormat="1" ht="15.75" customHeight="1">
      <c r="A111" s="156"/>
      <c r="B111" s="368"/>
      <c r="C111" s="368"/>
      <c r="D111" s="368"/>
      <c r="E111" s="368"/>
      <c r="J111" s="1"/>
    </row>
    <row r="112" spans="1:10" s="370" customFormat="1" ht="15.75" customHeight="1">
      <c r="A112" s="156"/>
      <c r="B112" s="368"/>
      <c r="C112" s="368"/>
      <c r="D112" s="368"/>
      <c r="E112" s="368"/>
      <c r="J112" s="1"/>
    </row>
    <row r="113" spans="1:10" s="370" customFormat="1" ht="15.75" customHeight="1">
      <c r="A113" s="156"/>
      <c r="B113" s="368"/>
      <c r="C113" s="368"/>
      <c r="D113" s="368"/>
      <c r="E113" s="368"/>
      <c r="J113" s="1"/>
    </row>
    <row r="114" spans="1:10" s="370" customFormat="1" ht="15.75" customHeight="1">
      <c r="A114" s="156"/>
      <c r="B114" s="368"/>
      <c r="C114" s="368"/>
      <c r="D114" s="368"/>
      <c r="E114" s="368"/>
      <c r="J114" s="1"/>
    </row>
    <row r="115" spans="1:10" s="370" customFormat="1" ht="15.75" customHeight="1">
      <c r="A115" s="156"/>
      <c r="B115" s="368"/>
      <c r="C115" s="368"/>
      <c r="D115" s="368"/>
      <c r="E115" s="368"/>
      <c r="J115" s="1"/>
    </row>
    <row r="116" spans="1:10" s="370" customFormat="1" ht="15.75" customHeight="1">
      <c r="A116" s="156"/>
      <c r="B116" s="368"/>
      <c r="C116" s="368"/>
      <c r="D116" s="368"/>
      <c r="E116" s="368"/>
      <c r="J116" s="1"/>
    </row>
    <row r="117" spans="1:10" s="370" customFormat="1" ht="15.75" customHeight="1">
      <c r="A117" s="156"/>
      <c r="B117" s="368"/>
      <c r="C117" s="368"/>
      <c r="D117" s="368"/>
      <c r="E117" s="368"/>
      <c r="J117" s="1"/>
    </row>
    <row r="118" spans="1:10" s="370" customFormat="1" ht="15.75" customHeight="1">
      <c r="A118" s="156"/>
      <c r="B118" s="368"/>
      <c r="C118" s="368"/>
      <c r="D118" s="368"/>
      <c r="E118" s="368"/>
      <c r="J118" s="1"/>
    </row>
    <row r="119" spans="1:10" s="370" customFormat="1" ht="15.75" customHeight="1">
      <c r="A119" s="156"/>
      <c r="B119" s="368"/>
      <c r="C119" s="368"/>
      <c r="D119" s="368"/>
      <c r="E119" s="368"/>
      <c r="J119" s="1"/>
    </row>
    <row r="120" spans="1:10" s="370" customFormat="1" ht="15.75" customHeight="1">
      <c r="A120" s="156"/>
      <c r="B120" s="368"/>
      <c r="C120" s="368"/>
      <c r="D120" s="368"/>
      <c r="E120" s="368"/>
      <c r="J120" s="1"/>
    </row>
    <row r="121" spans="1:10" s="370" customFormat="1" ht="15.75" customHeight="1">
      <c r="A121" s="156"/>
      <c r="B121" s="368"/>
      <c r="C121" s="368"/>
      <c r="D121" s="368"/>
      <c r="E121" s="368"/>
      <c r="J121" s="1"/>
    </row>
    <row r="122" spans="1:10" s="370" customFormat="1" ht="15.75" customHeight="1">
      <c r="A122" s="156"/>
      <c r="B122" s="368"/>
      <c r="C122" s="368"/>
      <c r="D122" s="368"/>
      <c r="E122" s="368"/>
      <c r="J122" s="1"/>
    </row>
    <row r="123" spans="1:10" s="370" customFormat="1" ht="15.75" customHeight="1">
      <c r="A123" s="156"/>
      <c r="B123" s="368"/>
      <c r="C123" s="368"/>
      <c r="D123" s="368"/>
      <c r="E123" s="368"/>
      <c r="J123" s="1"/>
    </row>
    <row r="124" spans="1:10" s="370" customFormat="1" ht="15.75" customHeight="1">
      <c r="A124" s="156"/>
      <c r="B124" s="368"/>
      <c r="C124" s="368"/>
      <c r="D124" s="368"/>
      <c r="E124" s="368"/>
      <c r="J124" s="1"/>
    </row>
    <row r="125" spans="1:10" s="370" customFormat="1" ht="15.75" customHeight="1">
      <c r="A125" s="156"/>
      <c r="B125" s="368"/>
      <c r="C125" s="368"/>
      <c r="D125" s="368"/>
      <c r="E125" s="368"/>
      <c r="J125" s="1"/>
    </row>
    <row r="126" spans="1:10" s="370" customFormat="1" ht="15.75" customHeight="1">
      <c r="A126" s="156"/>
      <c r="B126" s="368"/>
      <c r="C126" s="368"/>
      <c r="D126" s="368"/>
      <c r="E126" s="368"/>
      <c r="J126" s="1"/>
    </row>
    <row r="127" spans="1:10" s="370" customFormat="1" ht="15.75" customHeight="1">
      <c r="A127" s="156"/>
      <c r="B127" s="368"/>
      <c r="C127" s="368"/>
      <c r="D127" s="368"/>
      <c r="E127" s="368"/>
      <c r="J127" s="1"/>
    </row>
    <row r="128" spans="1:10" s="370" customFormat="1" ht="15.75" customHeight="1">
      <c r="A128" s="156"/>
      <c r="B128" s="368"/>
      <c r="C128" s="368"/>
      <c r="D128" s="368"/>
      <c r="E128" s="368"/>
      <c r="J128" s="1"/>
    </row>
    <row r="129" spans="1:10" s="370" customFormat="1" ht="15.75" customHeight="1">
      <c r="A129" s="156"/>
      <c r="B129" s="368"/>
      <c r="C129" s="368"/>
      <c r="D129" s="368"/>
      <c r="E129" s="368"/>
      <c r="J129" s="1"/>
    </row>
    <row r="130" spans="1:10" s="370" customFormat="1" ht="15.75" customHeight="1">
      <c r="A130" s="156"/>
      <c r="B130" s="368"/>
      <c r="C130" s="368"/>
      <c r="D130" s="368"/>
      <c r="E130" s="368"/>
      <c r="J130" s="1"/>
    </row>
    <row r="131" spans="1:10" s="370" customFormat="1" ht="15.75" customHeight="1">
      <c r="A131" s="156"/>
      <c r="B131" s="368"/>
      <c r="C131" s="368"/>
      <c r="D131" s="368"/>
      <c r="E131" s="368"/>
      <c r="J131" s="1"/>
    </row>
    <row r="132" spans="1:10" s="370" customFormat="1" ht="15.75" customHeight="1">
      <c r="A132" s="156"/>
      <c r="B132" s="368"/>
      <c r="C132" s="368"/>
      <c r="D132" s="368"/>
      <c r="E132" s="368"/>
      <c r="J132" s="1"/>
    </row>
    <row r="133" spans="1:10" s="370" customFormat="1" ht="15.75" customHeight="1">
      <c r="A133" s="156"/>
      <c r="B133" s="368"/>
      <c r="C133" s="368"/>
      <c r="D133" s="368"/>
      <c r="E133" s="368"/>
      <c r="J133" s="1"/>
    </row>
    <row r="134" spans="1:10" s="370" customFormat="1" ht="15.75" customHeight="1">
      <c r="A134" s="156"/>
      <c r="B134" s="368"/>
      <c r="C134" s="368"/>
      <c r="D134" s="368"/>
      <c r="E134" s="368"/>
      <c r="J134" s="1"/>
    </row>
    <row r="135" spans="1:10" s="370" customFormat="1" ht="15.75" customHeight="1">
      <c r="A135" s="156"/>
      <c r="B135" s="368"/>
      <c r="C135" s="368"/>
      <c r="D135" s="368"/>
      <c r="E135" s="368"/>
      <c r="J135" s="1"/>
    </row>
    <row r="136" spans="1:10" s="370" customFormat="1" ht="15.75" customHeight="1">
      <c r="A136" s="156"/>
      <c r="B136" s="368"/>
      <c r="C136" s="368"/>
      <c r="D136" s="368"/>
      <c r="E136" s="368"/>
      <c r="J136" s="1"/>
    </row>
    <row r="137" spans="1:10" s="370" customFormat="1" ht="15.75" customHeight="1">
      <c r="A137" s="156"/>
      <c r="B137" s="368"/>
      <c r="C137" s="368"/>
      <c r="D137" s="368"/>
      <c r="E137" s="368"/>
      <c r="J137" s="1"/>
    </row>
    <row r="138" spans="1:10" s="370" customFormat="1" ht="15.75" customHeight="1">
      <c r="A138" s="156"/>
      <c r="B138" s="368"/>
      <c r="C138" s="368"/>
      <c r="D138" s="368"/>
      <c r="E138" s="368"/>
      <c r="J138" s="1"/>
    </row>
    <row r="139" spans="1:10" s="370" customFormat="1" ht="15.75" customHeight="1">
      <c r="A139" s="156"/>
      <c r="B139" s="368"/>
      <c r="C139" s="368"/>
      <c r="D139" s="368"/>
      <c r="E139" s="368"/>
      <c r="J139" s="1"/>
    </row>
    <row r="140" spans="1:10" s="370" customFormat="1" ht="15.75" customHeight="1">
      <c r="A140" s="156"/>
      <c r="B140" s="368"/>
      <c r="C140" s="368"/>
      <c r="D140" s="368"/>
      <c r="E140" s="368"/>
      <c r="J140" s="1"/>
    </row>
    <row r="141" spans="1:10" s="370" customFormat="1" ht="15.75" customHeight="1">
      <c r="A141" s="156"/>
      <c r="B141" s="368"/>
      <c r="C141" s="368"/>
      <c r="D141" s="368"/>
      <c r="E141" s="368"/>
      <c r="J141" s="1"/>
    </row>
    <row r="142" spans="1:10" s="370" customFormat="1" ht="15.75" customHeight="1">
      <c r="A142" s="156"/>
      <c r="B142" s="368"/>
      <c r="C142" s="368"/>
      <c r="D142" s="368"/>
      <c r="E142" s="368"/>
      <c r="J142" s="1"/>
    </row>
    <row r="143" spans="1:10" s="370" customFormat="1" ht="15.75" customHeight="1">
      <c r="A143" s="156"/>
      <c r="B143" s="368"/>
      <c r="C143" s="368"/>
      <c r="D143" s="368"/>
      <c r="E143" s="368"/>
      <c r="J143" s="1"/>
    </row>
    <row r="144" spans="1:10" s="370" customFormat="1" ht="15.75" customHeight="1">
      <c r="A144" s="156"/>
      <c r="B144" s="368"/>
      <c r="C144" s="368"/>
      <c r="D144" s="368"/>
      <c r="E144" s="368"/>
      <c r="J144" s="1"/>
    </row>
    <row r="145" spans="1:10" s="370" customFormat="1" ht="15.75" customHeight="1">
      <c r="A145" s="156"/>
      <c r="B145" s="368"/>
      <c r="C145" s="368"/>
      <c r="D145" s="368"/>
      <c r="E145" s="368"/>
      <c r="J145" s="1"/>
    </row>
    <row r="146" spans="1:10" s="370" customFormat="1" ht="15.75" customHeight="1">
      <c r="A146" s="156"/>
      <c r="B146" s="368"/>
      <c r="C146" s="368"/>
      <c r="D146" s="368"/>
      <c r="E146" s="368"/>
      <c r="J146" s="1"/>
    </row>
    <row r="147" spans="1:10" s="370" customFormat="1" ht="15.75" customHeight="1">
      <c r="A147" s="156"/>
      <c r="B147" s="368"/>
      <c r="C147" s="368"/>
      <c r="D147" s="368"/>
      <c r="E147" s="368"/>
      <c r="J147" s="1"/>
    </row>
    <row r="148" spans="1:10" s="370" customFormat="1">
      <c r="A148" s="156"/>
      <c r="B148" s="368"/>
      <c r="C148" s="368"/>
      <c r="D148" s="368"/>
      <c r="E148" s="368"/>
      <c r="J148" s="1"/>
    </row>
    <row r="149" spans="1:10" s="370" customFormat="1">
      <c r="A149" s="156"/>
      <c r="B149" s="368"/>
      <c r="C149" s="368"/>
      <c r="D149" s="368"/>
      <c r="E149" s="368"/>
      <c r="J149" s="1"/>
    </row>
    <row r="150" spans="1:10" s="370" customFormat="1">
      <c r="A150" s="156"/>
      <c r="B150" s="368"/>
      <c r="C150" s="368"/>
      <c r="D150" s="368"/>
      <c r="E150" s="368"/>
      <c r="J150" s="1"/>
    </row>
    <row r="151" spans="1:10" s="370" customFormat="1">
      <c r="A151" s="156"/>
      <c r="B151" s="368"/>
      <c r="C151" s="368"/>
      <c r="D151" s="368"/>
      <c r="E151" s="368"/>
      <c r="J151" s="1"/>
    </row>
    <row r="152" spans="1:10" s="370" customFormat="1">
      <c r="A152" s="156"/>
      <c r="B152" s="368"/>
      <c r="C152" s="368"/>
      <c r="D152" s="368"/>
      <c r="E152" s="368"/>
      <c r="J152" s="1"/>
    </row>
    <row r="153" spans="1:10" s="370" customFormat="1">
      <c r="A153" s="156"/>
      <c r="B153" s="368"/>
      <c r="C153" s="368"/>
      <c r="D153" s="368"/>
      <c r="E153" s="368"/>
      <c r="J153" s="1"/>
    </row>
    <row r="154" spans="1:10" s="370" customFormat="1">
      <c r="A154" s="156"/>
      <c r="B154" s="368"/>
      <c r="C154" s="368"/>
      <c r="D154" s="368"/>
      <c r="E154" s="368"/>
      <c r="J154" s="1"/>
    </row>
    <row r="155" spans="1:10" s="370" customFormat="1">
      <c r="A155" s="156"/>
      <c r="B155" s="368"/>
      <c r="C155" s="368"/>
      <c r="D155" s="368"/>
      <c r="E155" s="368"/>
      <c r="J155" s="1"/>
    </row>
    <row r="156" spans="1:10" s="370" customFormat="1">
      <c r="A156" s="156"/>
      <c r="B156" s="368"/>
      <c r="C156" s="368"/>
      <c r="D156" s="368"/>
      <c r="E156" s="368"/>
      <c r="J156" s="1"/>
    </row>
    <row r="157" spans="1:10" s="370" customFormat="1">
      <c r="A157" s="156"/>
      <c r="B157" s="368"/>
      <c r="C157" s="368"/>
      <c r="D157" s="368"/>
      <c r="E157" s="368"/>
      <c r="J157" s="1"/>
    </row>
    <row r="158" spans="1:10" s="370" customFormat="1">
      <c r="A158" s="156"/>
      <c r="B158" s="368"/>
      <c r="C158" s="368"/>
      <c r="D158" s="368"/>
      <c r="E158" s="368"/>
      <c r="J158" s="1"/>
    </row>
    <row r="159" spans="1:10" s="370" customFormat="1">
      <c r="A159" s="156"/>
      <c r="B159" s="368"/>
      <c r="C159" s="368"/>
      <c r="D159" s="368"/>
      <c r="E159" s="368"/>
      <c r="J159" s="1"/>
    </row>
    <row r="160" spans="1:10" s="370" customFormat="1">
      <c r="A160" s="156"/>
      <c r="B160" s="368"/>
      <c r="C160" s="368"/>
      <c r="D160" s="368"/>
      <c r="E160" s="368"/>
      <c r="J160" s="1"/>
    </row>
    <row r="161" spans="1:10" s="370" customFormat="1">
      <c r="A161" s="156"/>
      <c r="B161" s="368"/>
      <c r="C161" s="368"/>
      <c r="D161" s="368"/>
      <c r="E161" s="368"/>
      <c r="J161" s="1"/>
    </row>
    <row r="162" spans="1:10" s="370" customFormat="1">
      <c r="A162" s="156"/>
      <c r="B162" s="368"/>
      <c r="C162" s="368"/>
      <c r="D162" s="368"/>
      <c r="E162" s="368"/>
      <c r="J162" s="1"/>
    </row>
    <row r="163" spans="1:10" s="370" customFormat="1">
      <c r="A163" s="156"/>
      <c r="B163" s="368"/>
      <c r="C163" s="368"/>
      <c r="D163" s="368"/>
      <c r="E163" s="368"/>
      <c r="J163" s="1"/>
    </row>
    <row r="164" spans="1:10" s="370" customFormat="1">
      <c r="A164" s="156"/>
      <c r="B164" s="368"/>
      <c r="C164" s="368"/>
      <c r="D164" s="368"/>
      <c r="E164" s="368"/>
      <c r="J164" s="1"/>
    </row>
    <row r="165" spans="1:10" s="370" customFormat="1">
      <c r="A165" s="156"/>
      <c r="B165" s="368"/>
      <c r="C165" s="368"/>
      <c r="D165" s="368"/>
      <c r="E165" s="368"/>
      <c r="J165" s="1"/>
    </row>
    <row r="166" spans="1:10" s="370" customFormat="1">
      <c r="A166" s="156"/>
      <c r="B166" s="368"/>
      <c r="C166" s="368"/>
      <c r="D166" s="368"/>
      <c r="E166" s="368"/>
      <c r="J166" s="1"/>
    </row>
    <row r="167" spans="1:10" s="370" customFormat="1">
      <c r="A167" s="156"/>
      <c r="B167" s="368"/>
      <c r="C167" s="368"/>
      <c r="D167" s="368"/>
      <c r="E167" s="368"/>
      <c r="J167" s="1"/>
    </row>
    <row r="168" spans="1:10" s="370" customFormat="1">
      <c r="A168" s="156"/>
      <c r="B168" s="368"/>
      <c r="C168" s="368"/>
      <c r="D168" s="368"/>
      <c r="E168" s="368"/>
      <c r="J168" s="1"/>
    </row>
    <row r="169" spans="1:10" s="370" customFormat="1">
      <c r="A169" s="156"/>
      <c r="B169" s="368"/>
      <c r="C169" s="368"/>
      <c r="D169" s="368"/>
      <c r="E169" s="368"/>
      <c r="J169" s="1"/>
    </row>
    <row r="170" spans="1:10" s="370" customFormat="1">
      <c r="A170" s="156"/>
      <c r="B170" s="368"/>
      <c r="C170" s="368"/>
      <c r="D170" s="368"/>
      <c r="E170" s="368"/>
      <c r="J170" s="1"/>
    </row>
    <row r="171" spans="1:10" s="370" customFormat="1">
      <c r="A171" s="156"/>
      <c r="B171" s="368"/>
      <c r="C171" s="368"/>
      <c r="D171" s="368"/>
      <c r="E171" s="368"/>
      <c r="J171" s="1"/>
    </row>
    <row r="172" spans="1:10" s="370" customFormat="1">
      <c r="A172" s="156"/>
      <c r="B172" s="368"/>
      <c r="C172" s="368"/>
      <c r="D172" s="368"/>
      <c r="E172" s="368"/>
      <c r="J172" s="1"/>
    </row>
    <row r="173" spans="1:10" s="370" customFormat="1">
      <c r="A173" s="156"/>
      <c r="B173" s="368"/>
      <c r="C173" s="368"/>
      <c r="D173" s="368"/>
      <c r="E173" s="368"/>
      <c r="J173" s="1"/>
    </row>
    <row r="174" spans="1:10" s="370" customFormat="1">
      <c r="A174" s="156"/>
      <c r="B174" s="368"/>
      <c r="C174" s="368"/>
      <c r="D174" s="368"/>
      <c r="E174" s="368"/>
      <c r="J174" s="1"/>
    </row>
    <row r="175" spans="1:10" s="370" customFormat="1">
      <c r="A175" s="156"/>
      <c r="B175" s="368"/>
      <c r="C175" s="368"/>
      <c r="D175" s="368"/>
      <c r="E175" s="368"/>
      <c r="J175" s="1"/>
    </row>
    <row r="176" spans="1:10" s="370" customFormat="1">
      <c r="A176" s="156"/>
      <c r="B176" s="368"/>
      <c r="C176" s="368"/>
      <c r="D176" s="368"/>
      <c r="E176" s="368"/>
      <c r="J176" s="1"/>
    </row>
    <row r="177" spans="1:10" s="370" customFormat="1">
      <c r="A177" s="156"/>
      <c r="B177" s="368"/>
      <c r="C177" s="368"/>
      <c r="D177" s="368"/>
      <c r="E177" s="368"/>
      <c r="J177" s="1"/>
    </row>
    <row r="178" spans="1:10" s="370" customFormat="1">
      <c r="A178" s="156"/>
      <c r="B178" s="368"/>
      <c r="C178" s="368"/>
      <c r="D178" s="368"/>
      <c r="E178" s="368"/>
      <c r="J178" s="1"/>
    </row>
    <row r="179" spans="1:10" s="370" customFormat="1">
      <c r="A179" s="156"/>
      <c r="B179" s="368"/>
      <c r="C179" s="368"/>
      <c r="D179" s="368"/>
      <c r="E179" s="368"/>
      <c r="J179" s="1"/>
    </row>
    <row r="180" spans="1:10" s="370" customFormat="1">
      <c r="A180" s="156"/>
      <c r="B180" s="368"/>
      <c r="C180" s="368"/>
      <c r="D180" s="368"/>
      <c r="E180" s="368"/>
      <c r="J180" s="1"/>
    </row>
    <row r="181" spans="1:10" s="370" customFormat="1">
      <c r="A181" s="156"/>
      <c r="B181" s="368"/>
      <c r="C181" s="368"/>
      <c r="D181" s="368"/>
      <c r="E181" s="368"/>
      <c r="J181" s="1"/>
    </row>
    <row r="182" spans="1:10" s="370" customFormat="1">
      <c r="A182" s="156"/>
      <c r="B182" s="368"/>
      <c r="C182" s="368"/>
      <c r="D182" s="368"/>
      <c r="E182" s="368"/>
      <c r="J182" s="1"/>
    </row>
    <row r="183" spans="1:10" s="370" customFormat="1">
      <c r="A183" s="156"/>
      <c r="B183" s="368"/>
      <c r="C183" s="368"/>
      <c r="D183" s="368"/>
      <c r="E183" s="368"/>
      <c r="J183" s="1"/>
    </row>
    <row r="184" spans="1:10" s="370" customFormat="1">
      <c r="A184" s="156"/>
      <c r="B184" s="368"/>
      <c r="C184" s="368"/>
      <c r="D184" s="368"/>
      <c r="E184" s="368"/>
      <c r="J184" s="1"/>
    </row>
    <row r="185" spans="1:10" s="370" customFormat="1">
      <c r="A185" s="156"/>
      <c r="B185" s="368"/>
      <c r="C185" s="368"/>
      <c r="D185" s="368"/>
      <c r="E185" s="368"/>
      <c r="J185" s="1"/>
    </row>
    <row r="186" spans="1:10" s="370" customFormat="1">
      <c r="A186" s="156"/>
      <c r="B186" s="368"/>
      <c r="C186" s="368"/>
      <c r="D186" s="368"/>
      <c r="E186" s="368"/>
      <c r="J186" s="1"/>
    </row>
    <row r="187" spans="1:10" s="370" customFormat="1">
      <c r="A187" s="156"/>
      <c r="B187" s="368"/>
      <c r="C187" s="368"/>
      <c r="D187" s="368"/>
      <c r="E187" s="368"/>
      <c r="J187" s="1"/>
    </row>
    <row r="188" spans="1:10" s="370" customFormat="1">
      <c r="A188" s="156"/>
      <c r="B188" s="368"/>
      <c r="C188" s="368"/>
      <c r="D188" s="368"/>
      <c r="E188" s="368"/>
      <c r="J188" s="1"/>
    </row>
    <row r="189" spans="1:10" s="370" customFormat="1">
      <c r="A189" s="156"/>
      <c r="B189" s="368"/>
      <c r="C189" s="368"/>
      <c r="D189" s="368"/>
      <c r="E189" s="368"/>
      <c r="J189" s="1"/>
    </row>
    <row r="190" spans="1:10" s="370" customFormat="1">
      <c r="A190" s="156"/>
      <c r="B190" s="368"/>
      <c r="C190" s="368"/>
      <c r="D190" s="368"/>
      <c r="E190" s="368"/>
      <c r="J190" s="1"/>
    </row>
    <row r="191" spans="1:10" s="370" customFormat="1">
      <c r="A191" s="156"/>
      <c r="B191" s="368"/>
      <c r="C191" s="368"/>
      <c r="D191" s="368"/>
      <c r="E191" s="368"/>
      <c r="J191" s="1"/>
    </row>
    <row r="192" spans="1:10" s="370" customFormat="1">
      <c r="A192" s="156"/>
      <c r="B192" s="368"/>
      <c r="C192" s="368"/>
      <c r="D192" s="368"/>
      <c r="E192" s="368"/>
      <c r="J192" s="1"/>
    </row>
    <row r="193" spans="1:10" s="370" customFormat="1">
      <c r="A193" s="156"/>
      <c r="B193" s="368"/>
      <c r="C193" s="368"/>
      <c r="D193" s="368"/>
      <c r="E193" s="368"/>
      <c r="J193" s="1"/>
    </row>
    <row r="194" spans="1:10" s="370" customFormat="1">
      <c r="A194" s="156"/>
      <c r="B194" s="368"/>
      <c r="C194" s="368"/>
      <c r="D194" s="368"/>
      <c r="E194" s="368"/>
      <c r="J194" s="1"/>
    </row>
    <row r="195" spans="1:10" s="370" customFormat="1">
      <c r="A195" s="156"/>
      <c r="B195" s="368"/>
      <c r="C195" s="368"/>
      <c r="D195" s="368"/>
      <c r="E195" s="368"/>
      <c r="J195" s="1"/>
    </row>
    <row r="196" spans="1:10" s="370" customFormat="1">
      <c r="A196" s="156"/>
      <c r="B196" s="368"/>
      <c r="C196" s="368"/>
      <c r="D196" s="368"/>
      <c r="E196" s="368"/>
      <c r="J196" s="1"/>
    </row>
    <row r="197" spans="1:10" s="370" customFormat="1">
      <c r="A197" s="156"/>
      <c r="B197" s="368"/>
      <c r="C197" s="368"/>
      <c r="D197" s="368"/>
      <c r="E197" s="368"/>
      <c r="J197" s="1"/>
    </row>
    <row r="198" spans="1:10" s="370" customFormat="1">
      <c r="A198" s="156"/>
      <c r="B198" s="368"/>
      <c r="C198" s="368"/>
      <c r="D198" s="368"/>
      <c r="E198" s="368"/>
      <c r="J198" s="1"/>
    </row>
    <row r="199" spans="1:10" s="370" customFormat="1">
      <c r="A199" s="156"/>
      <c r="B199" s="368"/>
      <c r="C199" s="368"/>
      <c r="D199" s="368"/>
      <c r="E199" s="368"/>
      <c r="J199" s="1"/>
    </row>
    <row r="200" spans="1:10" s="370" customFormat="1">
      <c r="A200" s="156"/>
      <c r="B200" s="368"/>
      <c r="C200" s="368"/>
      <c r="D200" s="368"/>
      <c r="E200" s="368"/>
      <c r="J200" s="1"/>
    </row>
    <row r="201" spans="1:10" s="370" customFormat="1">
      <c r="A201" s="156"/>
      <c r="B201" s="368"/>
      <c r="C201" s="368"/>
      <c r="D201" s="368"/>
      <c r="E201" s="368"/>
      <c r="J201" s="1"/>
    </row>
    <row r="202" spans="1:10" s="370" customFormat="1">
      <c r="A202" s="156"/>
      <c r="B202" s="368"/>
      <c r="C202" s="368"/>
      <c r="D202" s="368"/>
      <c r="E202" s="368"/>
      <c r="J202" s="1"/>
    </row>
    <row r="203" spans="1:10" s="370" customFormat="1">
      <c r="A203" s="156"/>
      <c r="B203" s="368"/>
      <c r="C203" s="368"/>
      <c r="D203" s="368"/>
      <c r="E203" s="368"/>
      <c r="J203" s="1"/>
    </row>
    <row r="204" spans="1:10" s="370" customFormat="1">
      <c r="A204" s="156"/>
      <c r="B204" s="368"/>
      <c r="C204" s="368"/>
      <c r="D204" s="368"/>
      <c r="E204" s="368"/>
      <c r="J204" s="1"/>
    </row>
    <row r="205" spans="1:10" s="370" customFormat="1">
      <c r="A205" s="156"/>
      <c r="B205" s="368"/>
      <c r="C205" s="368"/>
      <c r="D205" s="368"/>
      <c r="E205" s="368"/>
      <c r="J205" s="1"/>
    </row>
    <row r="206" spans="1:10" s="370" customFormat="1">
      <c r="A206" s="156"/>
      <c r="B206" s="368"/>
      <c r="C206" s="368"/>
      <c r="D206" s="368"/>
      <c r="E206" s="368"/>
      <c r="J206" s="1"/>
    </row>
    <row r="207" spans="1:10" s="370" customFormat="1">
      <c r="A207" s="156"/>
      <c r="B207" s="368"/>
      <c r="C207" s="368"/>
      <c r="D207" s="368"/>
      <c r="E207" s="368"/>
      <c r="J207" s="1"/>
    </row>
    <row r="208" spans="1:10" s="370" customFormat="1">
      <c r="A208" s="156"/>
      <c r="B208" s="368"/>
      <c r="C208" s="368"/>
      <c r="D208" s="368"/>
      <c r="E208" s="368"/>
      <c r="J208" s="1"/>
    </row>
    <row r="209" spans="1:10" s="370" customFormat="1">
      <c r="A209" s="156"/>
      <c r="B209" s="368"/>
      <c r="C209" s="368"/>
      <c r="D209" s="368"/>
      <c r="E209" s="368"/>
      <c r="J209" s="1"/>
    </row>
    <row r="210" spans="1:10" s="370" customFormat="1">
      <c r="A210" s="156"/>
      <c r="B210" s="368"/>
      <c r="C210" s="368"/>
      <c r="D210" s="368"/>
      <c r="E210" s="368"/>
      <c r="J210" s="1"/>
    </row>
    <row r="211" spans="1:10" s="370" customFormat="1">
      <c r="A211" s="156"/>
      <c r="B211" s="368"/>
      <c r="C211" s="368"/>
      <c r="D211" s="368"/>
      <c r="E211" s="368"/>
      <c r="J211" s="1"/>
    </row>
    <row r="212" spans="1:10" s="370" customFormat="1">
      <c r="A212" s="156"/>
      <c r="B212" s="368"/>
      <c r="C212" s="368"/>
      <c r="D212" s="368"/>
      <c r="E212" s="368"/>
      <c r="J212" s="1"/>
    </row>
    <row r="213" spans="1:10" s="370" customFormat="1">
      <c r="A213" s="156"/>
      <c r="B213" s="368"/>
      <c r="C213" s="368"/>
      <c r="D213" s="368"/>
      <c r="E213" s="368"/>
      <c r="J213" s="1"/>
    </row>
    <row r="214" spans="1:10" s="370" customFormat="1">
      <c r="A214" s="156"/>
      <c r="B214" s="368"/>
      <c r="C214" s="368"/>
      <c r="D214" s="368"/>
      <c r="E214" s="368"/>
      <c r="J214" s="1"/>
    </row>
    <row r="215" spans="1:10" s="370" customFormat="1">
      <c r="A215" s="156"/>
      <c r="B215" s="368"/>
      <c r="C215" s="368"/>
      <c r="D215" s="368"/>
      <c r="E215" s="368"/>
      <c r="J215" s="1"/>
    </row>
    <row r="216" spans="1:10" s="370" customFormat="1">
      <c r="A216" s="156"/>
      <c r="B216" s="368"/>
      <c r="C216" s="368"/>
      <c r="D216" s="368"/>
      <c r="E216" s="368"/>
      <c r="J216" s="1"/>
    </row>
    <row r="217" spans="1:10" s="370" customFormat="1">
      <c r="A217" s="156"/>
      <c r="B217" s="368"/>
      <c r="C217" s="368"/>
      <c r="D217" s="368"/>
      <c r="E217" s="368"/>
      <c r="J217" s="1"/>
    </row>
    <row r="218" spans="1:10" s="370" customFormat="1">
      <c r="A218" s="156"/>
      <c r="B218" s="368"/>
      <c r="C218" s="368"/>
      <c r="D218" s="368"/>
      <c r="E218" s="368"/>
      <c r="J218" s="1"/>
    </row>
    <row r="219" spans="1:10" s="370" customFormat="1">
      <c r="A219" s="156"/>
      <c r="B219" s="368"/>
      <c r="C219" s="368"/>
      <c r="D219" s="368"/>
      <c r="E219" s="368"/>
      <c r="J219" s="1"/>
    </row>
    <row r="220" spans="1:10" s="370" customFormat="1">
      <c r="A220" s="156"/>
      <c r="B220" s="368"/>
      <c r="C220" s="368"/>
      <c r="D220" s="368"/>
      <c r="E220" s="368"/>
      <c r="J220" s="1"/>
    </row>
    <row r="221" spans="1:10" s="370" customFormat="1">
      <c r="A221" s="156"/>
      <c r="B221" s="368"/>
      <c r="C221" s="368"/>
      <c r="D221" s="368"/>
      <c r="E221" s="368"/>
      <c r="J221" s="1"/>
    </row>
    <row r="222" spans="1:10" s="370" customFormat="1">
      <c r="A222" s="156"/>
      <c r="B222" s="368"/>
      <c r="C222" s="368"/>
      <c r="D222" s="368"/>
      <c r="E222" s="368"/>
      <c r="J222" s="1"/>
    </row>
    <row r="223" spans="1:10" s="370" customFormat="1">
      <c r="A223" s="156"/>
      <c r="B223" s="368"/>
      <c r="C223" s="368"/>
      <c r="D223" s="368"/>
      <c r="E223" s="368"/>
      <c r="J223" s="1"/>
    </row>
    <row r="224" spans="1:10" s="370" customFormat="1">
      <c r="A224" s="156"/>
      <c r="B224" s="368"/>
      <c r="C224" s="368"/>
      <c r="D224" s="368"/>
      <c r="E224" s="368"/>
      <c r="J224" s="1"/>
    </row>
    <row r="225" spans="1:10" s="370" customFormat="1">
      <c r="A225" s="156"/>
      <c r="B225" s="368"/>
      <c r="C225" s="368"/>
      <c r="D225" s="368"/>
      <c r="E225" s="368"/>
      <c r="J225" s="1"/>
    </row>
    <row r="226" spans="1:10" s="370" customFormat="1">
      <c r="A226" s="156"/>
      <c r="B226" s="368"/>
      <c r="C226" s="368"/>
      <c r="D226" s="368"/>
      <c r="E226" s="368"/>
      <c r="J226" s="1"/>
    </row>
    <row r="227" spans="1:10" s="370" customFormat="1">
      <c r="A227" s="156"/>
      <c r="B227" s="368"/>
      <c r="C227" s="368"/>
      <c r="D227" s="368"/>
      <c r="E227" s="368"/>
      <c r="J227" s="1"/>
    </row>
    <row r="228" spans="1:10" s="370" customFormat="1">
      <c r="A228" s="156"/>
      <c r="B228" s="368"/>
      <c r="C228" s="368"/>
      <c r="D228" s="368"/>
      <c r="E228" s="368"/>
      <c r="J228" s="1"/>
    </row>
    <row r="229" spans="1:10" s="370" customFormat="1">
      <c r="A229" s="156"/>
      <c r="B229" s="368"/>
      <c r="C229" s="368"/>
      <c r="D229" s="368"/>
      <c r="E229" s="368"/>
      <c r="J229" s="1"/>
    </row>
    <row r="230" spans="1:10" s="370" customFormat="1">
      <c r="A230" s="156"/>
      <c r="B230" s="368"/>
      <c r="C230" s="368"/>
      <c r="D230" s="368"/>
      <c r="E230" s="368"/>
      <c r="J230" s="1"/>
    </row>
    <row r="231" spans="1:10" s="370" customFormat="1">
      <c r="A231" s="156"/>
      <c r="B231" s="368"/>
      <c r="C231" s="368"/>
      <c r="D231" s="368"/>
      <c r="E231" s="368"/>
      <c r="J231" s="1"/>
    </row>
    <row r="232" spans="1:10" s="370" customFormat="1">
      <c r="A232" s="156"/>
      <c r="B232" s="368"/>
      <c r="C232" s="368"/>
      <c r="D232" s="368"/>
      <c r="E232" s="368"/>
      <c r="J232" s="1"/>
    </row>
    <row r="233" spans="1:10" s="370" customFormat="1">
      <c r="A233" s="156"/>
      <c r="B233" s="368"/>
      <c r="C233" s="368"/>
      <c r="D233" s="368"/>
      <c r="E233" s="368"/>
      <c r="J233" s="1"/>
    </row>
    <row r="234" spans="1:10" s="370" customFormat="1">
      <c r="A234" s="156"/>
      <c r="B234" s="368"/>
      <c r="C234" s="368"/>
      <c r="D234" s="368"/>
      <c r="E234" s="368"/>
      <c r="J234" s="1"/>
    </row>
    <row r="235" spans="1:10" s="370" customFormat="1">
      <c r="A235" s="156"/>
      <c r="B235" s="368"/>
      <c r="C235" s="368"/>
      <c r="D235" s="368"/>
      <c r="E235" s="368"/>
      <c r="J235" s="1"/>
    </row>
    <row r="236" spans="1:10" s="370" customFormat="1">
      <c r="A236" s="156"/>
      <c r="B236" s="368"/>
      <c r="C236" s="368"/>
      <c r="D236" s="368"/>
      <c r="E236" s="368"/>
      <c r="J236" s="1"/>
    </row>
    <row r="237" spans="1:10" s="370" customFormat="1">
      <c r="A237" s="156"/>
      <c r="B237" s="368"/>
      <c r="C237" s="368"/>
      <c r="D237" s="368"/>
      <c r="E237" s="368"/>
      <c r="J237" s="1"/>
    </row>
    <row r="238" spans="1:10" s="370" customFormat="1">
      <c r="A238" s="156"/>
      <c r="B238" s="368"/>
      <c r="C238" s="368"/>
      <c r="D238" s="368"/>
      <c r="E238" s="368"/>
      <c r="J238" s="1"/>
    </row>
    <row r="239" spans="1:10" s="370" customFormat="1">
      <c r="A239" s="156"/>
      <c r="B239" s="368"/>
      <c r="C239" s="368"/>
      <c r="D239" s="368"/>
      <c r="E239" s="368"/>
      <c r="J239" s="1"/>
    </row>
    <row r="240" spans="1:10" s="370" customFormat="1">
      <c r="A240" s="156"/>
      <c r="B240" s="368"/>
      <c r="C240" s="368"/>
      <c r="D240" s="368"/>
      <c r="E240" s="368"/>
      <c r="J240" s="1"/>
    </row>
    <row r="241" spans="1:10" s="370" customFormat="1">
      <c r="A241" s="156"/>
      <c r="B241" s="368"/>
      <c r="C241" s="368"/>
      <c r="D241" s="368"/>
      <c r="E241" s="368"/>
      <c r="J241" s="1"/>
    </row>
    <row r="242" spans="1:10" s="370" customFormat="1">
      <c r="A242" s="156"/>
      <c r="B242" s="368"/>
      <c r="C242" s="368"/>
      <c r="D242" s="368"/>
      <c r="E242" s="368"/>
      <c r="J242" s="1"/>
    </row>
    <row r="243" spans="1:10" s="370" customFormat="1">
      <c r="A243" s="156"/>
      <c r="B243" s="368"/>
      <c r="C243" s="368"/>
      <c r="D243" s="368"/>
      <c r="E243" s="368"/>
      <c r="J243" s="1"/>
    </row>
    <row r="244" spans="1:10" s="370" customFormat="1">
      <c r="A244" s="156"/>
      <c r="B244" s="368"/>
      <c r="C244" s="368"/>
      <c r="D244" s="368"/>
      <c r="E244" s="368"/>
      <c r="J244" s="1"/>
    </row>
    <row r="245" spans="1:10" s="370" customFormat="1">
      <c r="A245" s="156"/>
      <c r="B245" s="368"/>
      <c r="C245" s="368"/>
      <c r="D245" s="368"/>
      <c r="E245" s="368"/>
      <c r="J245" s="1"/>
    </row>
    <row r="246" spans="1:10" s="370" customFormat="1">
      <c r="A246" s="156"/>
      <c r="B246" s="368"/>
      <c r="C246" s="368"/>
      <c r="D246" s="368"/>
      <c r="E246" s="368"/>
      <c r="J246" s="1"/>
    </row>
    <row r="247" spans="1:10" s="370" customFormat="1">
      <c r="A247" s="156"/>
      <c r="B247" s="368"/>
      <c r="C247" s="368"/>
      <c r="D247" s="368"/>
      <c r="E247" s="368"/>
      <c r="J247" s="1"/>
    </row>
    <row r="248" spans="1:10" s="370" customFormat="1">
      <c r="A248" s="156"/>
      <c r="B248" s="368"/>
      <c r="C248" s="368"/>
      <c r="D248" s="368"/>
      <c r="E248" s="368"/>
      <c r="J248" s="1"/>
    </row>
    <row r="249" spans="1:10" s="370" customFormat="1">
      <c r="A249" s="156"/>
      <c r="B249" s="368"/>
      <c r="C249" s="368"/>
      <c r="D249" s="368"/>
      <c r="E249" s="368"/>
      <c r="J249" s="1"/>
    </row>
    <row r="250" spans="1:10" s="370" customFormat="1">
      <c r="A250" s="156"/>
      <c r="B250" s="368"/>
      <c r="C250" s="368"/>
      <c r="D250" s="368"/>
      <c r="E250" s="368"/>
      <c r="J250" s="1"/>
    </row>
    <row r="251" spans="1:10" s="370" customFormat="1">
      <c r="A251" s="156"/>
      <c r="B251" s="368"/>
      <c r="C251" s="368"/>
      <c r="D251" s="368"/>
      <c r="E251" s="368"/>
      <c r="J251" s="1"/>
    </row>
    <row r="252" spans="1:10" s="370" customFormat="1">
      <c r="A252" s="156"/>
      <c r="B252" s="368"/>
      <c r="C252" s="368"/>
      <c r="D252" s="368"/>
      <c r="E252" s="368"/>
      <c r="J252" s="1"/>
    </row>
    <row r="253" spans="1:10" s="370" customFormat="1">
      <c r="A253" s="156"/>
      <c r="B253" s="368"/>
      <c r="C253" s="368"/>
      <c r="D253" s="368"/>
      <c r="E253" s="368"/>
      <c r="J253" s="1"/>
    </row>
    <row r="254" spans="1:10" s="370" customFormat="1">
      <c r="A254" s="156"/>
      <c r="B254" s="368"/>
      <c r="C254" s="368"/>
      <c r="D254" s="368"/>
      <c r="E254" s="368"/>
      <c r="J254" s="1"/>
    </row>
    <row r="255" spans="1:10" s="370" customFormat="1">
      <c r="A255" s="156"/>
      <c r="B255" s="368"/>
      <c r="C255" s="368"/>
      <c r="D255" s="368"/>
      <c r="E255" s="368"/>
      <c r="J255" s="1"/>
    </row>
    <row r="256" spans="1:10" s="370" customFormat="1">
      <c r="A256" s="156"/>
      <c r="B256" s="368"/>
      <c r="C256" s="368"/>
      <c r="D256" s="368"/>
      <c r="E256" s="368"/>
      <c r="J256" s="1"/>
    </row>
    <row r="257" spans="1:10" s="370" customFormat="1">
      <c r="A257" s="156"/>
      <c r="B257" s="368"/>
      <c r="C257" s="368"/>
      <c r="D257" s="368"/>
      <c r="E257" s="368"/>
      <c r="J257" s="1"/>
    </row>
    <row r="258" spans="1:10" s="370" customFormat="1">
      <c r="A258" s="156"/>
      <c r="B258" s="368"/>
      <c r="C258" s="368"/>
      <c r="D258" s="368"/>
      <c r="E258" s="368"/>
      <c r="J258" s="1"/>
    </row>
    <row r="259" spans="1:10" s="370" customFormat="1">
      <c r="A259" s="156"/>
      <c r="B259" s="368"/>
      <c r="C259" s="368"/>
      <c r="D259" s="368"/>
      <c r="E259" s="368"/>
      <c r="J259" s="1"/>
    </row>
    <row r="260" spans="1:10" s="370" customFormat="1">
      <c r="A260" s="156"/>
      <c r="B260" s="368"/>
      <c r="C260" s="368"/>
      <c r="D260" s="368"/>
      <c r="E260" s="368"/>
      <c r="J260" s="1"/>
    </row>
    <row r="261" spans="1:10" s="370" customFormat="1">
      <c r="A261" s="156"/>
      <c r="B261" s="368"/>
      <c r="C261" s="368"/>
      <c r="D261" s="368"/>
      <c r="E261" s="368"/>
      <c r="J261" s="1"/>
    </row>
    <row r="262" spans="1:10" s="370" customFormat="1">
      <c r="A262" s="156"/>
      <c r="B262" s="368"/>
      <c r="C262" s="368"/>
      <c r="D262" s="368"/>
      <c r="E262" s="368"/>
      <c r="J262" s="1"/>
    </row>
    <row r="263" spans="1:10" s="370" customFormat="1">
      <c r="A263" s="156"/>
      <c r="B263" s="368"/>
      <c r="C263" s="368"/>
      <c r="D263" s="368"/>
      <c r="E263" s="368"/>
      <c r="J263" s="1"/>
    </row>
    <row r="264" spans="1:10" s="370" customFormat="1">
      <c r="A264" s="156"/>
      <c r="B264" s="368"/>
      <c r="C264" s="368"/>
      <c r="D264" s="368"/>
      <c r="E264" s="368"/>
      <c r="J264" s="1"/>
    </row>
    <row r="265" spans="1:10" s="370" customFormat="1">
      <c r="A265" s="156"/>
      <c r="B265" s="368"/>
      <c r="C265" s="368"/>
      <c r="D265" s="368"/>
      <c r="E265" s="368"/>
      <c r="J265" s="1"/>
    </row>
    <row r="266" spans="1:10" s="370" customFormat="1">
      <c r="A266" s="156"/>
      <c r="B266" s="368"/>
      <c r="C266" s="368"/>
      <c r="D266" s="368"/>
      <c r="E266" s="368"/>
      <c r="J266" s="1"/>
    </row>
    <row r="267" spans="1:10" s="370" customFormat="1">
      <c r="A267" s="156"/>
      <c r="B267" s="368"/>
      <c r="C267" s="368"/>
      <c r="D267" s="368"/>
      <c r="E267" s="368"/>
      <c r="J267" s="1"/>
    </row>
    <row r="268" spans="1:10" s="370" customFormat="1">
      <c r="A268" s="156"/>
      <c r="B268" s="368"/>
      <c r="C268" s="368"/>
      <c r="D268" s="368"/>
      <c r="E268" s="368"/>
      <c r="J268" s="1"/>
    </row>
    <row r="269" spans="1:10" s="370" customFormat="1">
      <c r="A269" s="156"/>
      <c r="B269" s="368"/>
      <c r="C269" s="368"/>
      <c r="D269" s="368"/>
      <c r="E269" s="368"/>
      <c r="J269" s="1"/>
    </row>
    <row r="270" spans="1:10" s="370" customFormat="1">
      <c r="A270" s="156"/>
      <c r="B270" s="368"/>
      <c r="C270" s="368"/>
      <c r="D270" s="368"/>
      <c r="E270" s="368"/>
      <c r="J270" s="1"/>
    </row>
    <row r="271" spans="1:10" s="370" customFormat="1">
      <c r="A271" s="156"/>
      <c r="B271" s="368"/>
      <c r="C271" s="368"/>
      <c r="D271" s="368"/>
      <c r="E271" s="368"/>
      <c r="J271" s="1"/>
    </row>
    <row r="272" spans="1:10" s="370" customFormat="1">
      <c r="A272" s="156"/>
      <c r="B272" s="368"/>
      <c r="C272" s="368"/>
      <c r="D272" s="368"/>
      <c r="E272" s="368"/>
      <c r="J272" s="1"/>
    </row>
    <row r="273" spans="1:10" s="370" customFormat="1">
      <c r="A273" s="156"/>
      <c r="B273" s="368"/>
      <c r="C273" s="368"/>
      <c r="D273" s="368"/>
      <c r="E273" s="368"/>
      <c r="J273" s="1"/>
    </row>
    <row r="274" spans="1:10" s="370" customFormat="1">
      <c r="A274" s="156"/>
      <c r="B274" s="368"/>
      <c r="C274" s="368"/>
      <c r="D274" s="368"/>
      <c r="E274" s="368"/>
      <c r="J274" s="1"/>
    </row>
    <row r="275" spans="1:10" s="370" customFormat="1">
      <c r="A275" s="156"/>
      <c r="B275" s="368"/>
      <c r="C275" s="368"/>
      <c r="D275" s="368"/>
      <c r="E275" s="368"/>
      <c r="J275" s="1"/>
    </row>
    <row r="276" spans="1:10" s="370" customFormat="1">
      <c r="A276" s="156"/>
      <c r="B276" s="368"/>
      <c r="C276" s="368"/>
      <c r="D276" s="368"/>
      <c r="E276" s="368"/>
      <c r="J276" s="1"/>
    </row>
    <row r="277" spans="1:10" s="370" customFormat="1">
      <c r="A277" s="156"/>
      <c r="B277" s="368"/>
      <c r="C277" s="368"/>
      <c r="D277" s="368"/>
      <c r="E277" s="368"/>
      <c r="J277" s="1"/>
    </row>
    <row r="278" spans="1:10" s="370" customFormat="1">
      <c r="A278" s="156"/>
      <c r="B278" s="368"/>
      <c r="C278" s="368"/>
      <c r="D278" s="368"/>
      <c r="E278" s="368"/>
      <c r="J278" s="1"/>
    </row>
    <row r="279" spans="1:10" s="370" customFormat="1">
      <c r="A279" s="156"/>
      <c r="B279" s="368"/>
      <c r="C279" s="368"/>
      <c r="D279" s="368"/>
      <c r="E279" s="368"/>
      <c r="J279" s="1"/>
    </row>
    <row r="280" spans="1:10" s="370" customFormat="1">
      <c r="A280" s="156"/>
      <c r="B280" s="368"/>
      <c r="C280" s="368"/>
      <c r="D280" s="368"/>
      <c r="E280" s="368"/>
      <c r="J280" s="1"/>
    </row>
    <row r="281" spans="1:10" s="370" customFormat="1">
      <c r="A281" s="156"/>
      <c r="B281" s="368"/>
      <c r="C281" s="368"/>
      <c r="D281" s="368"/>
      <c r="E281" s="368"/>
      <c r="J281" s="1"/>
    </row>
    <row r="282" spans="1:10" s="370" customFormat="1">
      <c r="A282" s="156"/>
      <c r="B282" s="368"/>
      <c r="C282" s="368"/>
      <c r="D282" s="368"/>
      <c r="E282" s="368"/>
      <c r="J282" s="1"/>
    </row>
    <row r="283" spans="1:10" s="370" customFormat="1">
      <c r="A283" s="156"/>
      <c r="B283" s="368"/>
      <c r="C283" s="368"/>
      <c r="D283" s="368"/>
      <c r="E283" s="368"/>
      <c r="J283" s="1"/>
    </row>
    <row r="284" spans="1:10" s="370" customFormat="1">
      <c r="A284" s="156"/>
      <c r="B284" s="368"/>
      <c r="C284" s="368"/>
      <c r="D284" s="368"/>
      <c r="E284" s="368"/>
      <c r="J284" s="1"/>
    </row>
    <row r="285" spans="1:10" s="370" customFormat="1">
      <c r="A285" s="156"/>
      <c r="B285" s="368"/>
      <c r="C285" s="368"/>
      <c r="D285" s="368"/>
      <c r="E285" s="368"/>
      <c r="J285" s="1"/>
    </row>
    <row r="286" spans="1:10" s="370" customFormat="1">
      <c r="A286" s="156"/>
      <c r="B286" s="368"/>
      <c r="C286" s="368"/>
      <c r="D286" s="368"/>
      <c r="E286" s="368"/>
      <c r="J286" s="1"/>
    </row>
    <row r="287" spans="1:10" s="370" customFormat="1">
      <c r="A287" s="156"/>
      <c r="B287" s="368"/>
      <c r="C287" s="368"/>
      <c r="D287" s="368"/>
      <c r="E287" s="368"/>
      <c r="J287" s="1"/>
    </row>
    <row r="288" spans="1:10" s="370" customFormat="1">
      <c r="A288" s="156"/>
      <c r="B288" s="368"/>
      <c r="C288" s="368"/>
      <c r="D288" s="368"/>
      <c r="E288" s="368"/>
      <c r="J288" s="1"/>
    </row>
    <row r="289" spans="1:10" s="370" customFormat="1">
      <c r="A289" s="156"/>
      <c r="B289" s="368"/>
      <c r="C289" s="368"/>
      <c r="D289" s="368"/>
      <c r="E289" s="368"/>
      <c r="J289" s="1"/>
    </row>
    <row r="290" spans="1:10" s="370" customFormat="1">
      <c r="A290" s="156"/>
      <c r="B290" s="368"/>
      <c r="C290" s="368"/>
      <c r="D290" s="368"/>
      <c r="E290" s="368"/>
      <c r="J290" s="1"/>
    </row>
    <row r="291" spans="1:10" s="370" customFormat="1">
      <c r="A291" s="156"/>
      <c r="B291" s="368"/>
      <c r="C291" s="368"/>
      <c r="D291" s="368"/>
      <c r="E291" s="368"/>
      <c r="J291" s="1"/>
    </row>
    <row r="292" spans="1:10" s="370" customFormat="1">
      <c r="A292" s="156"/>
      <c r="B292" s="368"/>
      <c r="C292" s="368"/>
      <c r="D292" s="368"/>
      <c r="E292" s="368"/>
      <c r="J292" s="1"/>
    </row>
    <row r="293" spans="1:10" s="370" customFormat="1">
      <c r="A293" s="156"/>
      <c r="B293" s="368"/>
      <c r="C293" s="368"/>
      <c r="D293" s="368"/>
      <c r="E293" s="368"/>
      <c r="J293" s="1"/>
    </row>
    <row r="294" spans="1:10" s="370" customFormat="1">
      <c r="A294" s="156"/>
      <c r="B294" s="368"/>
      <c r="C294" s="368"/>
      <c r="D294" s="368"/>
      <c r="E294" s="368"/>
      <c r="J294" s="1"/>
    </row>
    <row r="295" spans="1:10" s="370" customFormat="1">
      <c r="A295" s="156"/>
      <c r="B295" s="368"/>
      <c r="C295" s="368"/>
      <c r="D295" s="368"/>
      <c r="E295" s="368"/>
      <c r="J295" s="1"/>
    </row>
    <row r="296" spans="1:10" s="370" customFormat="1">
      <c r="A296" s="156"/>
      <c r="B296" s="368"/>
      <c r="C296" s="368"/>
      <c r="D296" s="368"/>
      <c r="E296" s="368"/>
      <c r="J296" s="1"/>
    </row>
    <row r="297" spans="1:10" s="370" customFormat="1">
      <c r="A297" s="156"/>
      <c r="B297" s="368"/>
      <c r="C297" s="368"/>
      <c r="D297" s="368"/>
      <c r="E297" s="368"/>
      <c r="J297" s="1"/>
    </row>
    <row r="298" spans="1:10" s="370" customFormat="1">
      <c r="A298" s="156"/>
      <c r="B298" s="368"/>
      <c r="C298" s="368"/>
      <c r="D298" s="368"/>
      <c r="E298" s="368"/>
      <c r="J298" s="1"/>
    </row>
    <row r="299" spans="1:10" s="370" customFormat="1">
      <c r="A299" s="156"/>
      <c r="B299" s="368"/>
      <c r="C299" s="368"/>
      <c r="D299" s="368"/>
      <c r="E299" s="368"/>
      <c r="J299" s="1"/>
    </row>
    <row r="300" spans="1:10" s="370" customFormat="1">
      <c r="A300" s="156"/>
      <c r="B300" s="368"/>
      <c r="C300" s="368"/>
      <c r="D300" s="368"/>
      <c r="E300" s="368"/>
      <c r="J300" s="1"/>
    </row>
    <row r="301" spans="1:10" s="370" customFormat="1">
      <c r="A301" s="156"/>
      <c r="B301" s="368"/>
      <c r="C301" s="368"/>
      <c r="D301" s="368"/>
      <c r="E301" s="368"/>
      <c r="J301" s="1"/>
    </row>
    <row r="302" spans="1:10" s="370" customFormat="1">
      <c r="A302" s="156"/>
      <c r="B302" s="368"/>
      <c r="C302" s="368"/>
      <c r="D302" s="368"/>
      <c r="E302" s="368"/>
      <c r="J302" s="1"/>
    </row>
    <row r="303" spans="1:10" s="370" customFormat="1">
      <c r="A303" s="156"/>
      <c r="B303" s="368"/>
      <c r="C303" s="368"/>
      <c r="D303" s="368"/>
      <c r="E303" s="368"/>
      <c r="J303" s="1"/>
    </row>
    <row r="304" spans="1:10" s="370" customFormat="1">
      <c r="A304" s="156"/>
      <c r="B304" s="368"/>
      <c r="C304" s="368"/>
      <c r="D304" s="368"/>
      <c r="E304" s="368"/>
      <c r="J304" s="1"/>
    </row>
    <row r="305" spans="1:10" s="370" customFormat="1">
      <c r="A305" s="156"/>
      <c r="B305" s="368"/>
      <c r="C305" s="368"/>
      <c r="D305" s="368"/>
      <c r="E305" s="368"/>
      <c r="J305" s="1"/>
    </row>
    <row r="306" spans="1:10" s="370" customFormat="1">
      <c r="A306" s="156"/>
      <c r="B306" s="368"/>
      <c r="C306" s="368"/>
      <c r="D306" s="368"/>
      <c r="E306" s="368"/>
      <c r="J306" s="1"/>
    </row>
    <row r="307" spans="1:10" s="370" customFormat="1">
      <c r="A307" s="156"/>
      <c r="B307" s="368"/>
      <c r="C307" s="368"/>
      <c r="D307" s="368"/>
      <c r="E307" s="368"/>
      <c r="J307" s="1"/>
    </row>
  </sheetData>
  <mergeCells count="14">
    <mergeCell ref="I4:I6"/>
    <mergeCell ref="G4:G6"/>
    <mergeCell ref="H4:H6"/>
    <mergeCell ref="F4:F6"/>
    <mergeCell ref="B59:E59"/>
    <mergeCell ref="H68:H70"/>
    <mergeCell ref="G68:G70"/>
    <mergeCell ref="F68:F70"/>
    <mergeCell ref="B20:E20"/>
    <mergeCell ref="B28:E28"/>
    <mergeCell ref="B38:E38"/>
    <mergeCell ref="B41:E41"/>
    <mergeCell ref="B46:E46"/>
    <mergeCell ref="B55:E55"/>
  </mergeCells>
  <printOptions horizontalCentered="1"/>
  <pageMargins left="0.78740157480314965" right="0.78740157480314965" top="0.78740157480314965" bottom="0.78740157480314965" header="0.39370078740157483" footer="0.39370078740157483"/>
  <pageSetup paperSize="9" scale="83" firstPageNumber="68" orientation="portrait" useFirstPageNumber="1" r:id="rId1"/>
  <headerFooter>
    <oddHeader>&amp;C&amp;"+,Tučné"II. Rozpis rozpočtu</oddHeader>
    <oddFooter>&amp;C&amp;"-,Obyčejné"&amp;P</oddFooter>
  </headerFooter>
  <ignoredErrors>
    <ignoredError sqref="H20 F38:H38 F59:H59 H63" formulaRange="1"/>
    <ignoredError sqref="B8:D19 D21:D27 B29:D37 D39:D40 B57:D58" numberStoredAsText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A62"/>
  <sheetViews>
    <sheetView topLeftCell="A2" zoomScaleNormal="100" zoomScaleSheetLayoutView="70" zoomScalePageLayoutView="80" workbookViewId="0">
      <selection activeCell="B8" sqref="B8"/>
    </sheetView>
  </sheetViews>
  <sheetFormatPr defaultColWidth="35.28515625" defaultRowHeight="15" outlineLevelCol="2"/>
  <cols>
    <col min="1" max="1" width="36.85546875" style="1642" customWidth="1"/>
    <col min="2" max="2" width="11.140625" style="1642" customWidth="1"/>
    <col min="3" max="3" width="13" style="1679" hidden="1" customWidth="1" outlineLevel="2"/>
    <col min="4" max="4" width="13" style="1642" hidden="1" customWidth="1" outlineLevel="2"/>
    <col min="5" max="5" width="9.7109375" style="1580" hidden="1" customWidth="1" outlineLevel="2"/>
    <col min="6" max="6" width="12" style="1642" hidden="1" customWidth="1" outlineLevel="2"/>
    <col min="7" max="7" width="13" style="1642" hidden="1" customWidth="1" outlineLevel="1"/>
    <col min="8" max="8" width="10.7109375" style="1642" hidden="1" customWidth="1" outlineLevel="1"/>
    <col min="9" max="9" width="12" style="1612" hidden="1" customWidth="1" outlineLevel="1"/>
    <col min="10" max="10" width="13.140625" style="1642" hidden="1" customWidth="1"/>
    <col min="11" max="11" width="9.85546875" style="1642" hidden="1" customWidth="1"/>
    <col min="12" max="12" width="12.140625" style="1612" hidden="1" customWidth="1"/>
    <col min="13" max="13" width="12" style="1642" customWidth="1"/>
    <col min="14" max="14" width="10.42578125" style="1642" customWidth="1"/>
    <col min="15" max="15" width="12.42578125" style="1612" customWidth="1"/>
    <col min="16" max="16" width="12.7109375" style="1581" customWidth="1"/>
    <col min="17" max="17" width="10.42578125" style="1581" customWidth="1"/>
    <col min="18" max="18" width="12.140625" style="1581" customWidth="1"/>
    <col min="19" max="19" width="12.5703125" style="1581" customWidth="1"/>
    <col min="20" max="20" width="10.42578125" style="1581" customWidth="1"/>
    <col min="21" max="21" width="12.140625" style="1581" customWidth="1"/>
    <col min="22" max="22" width="12.5703125" style="1581" customWidth="1"/>
    <col min="23" max="23" width="10.42578125" style="1581" customWidth="1"/>
    <col min="24" max="24" width="12.5703125" style="1581" customWidth="1"/>
    <col min="25" max="25" width="10.42578125" style="1581" customWidth="1"/>
    <col min="26" max="26" width="12" style="1581" customWidth="1"/>
    <col min="27" max="27" width="14.140625" style="1581" customWidth="1"/>
    <col min="28" max="255" width="9.140625" style="1024" customWidth="1"/>
    <col min="256" max="16384" width="35.28515625" style="1024"/>
  </cols>
  <sheetData>
    <row r="1" spans="1:27" hidden="1">
      <c r="A1" s="1903"/>
      <c r="B1" s="1903"/>
      <c r="C1" s="1903"/>
      <c r="D1" s="1903"/>
      <c r="E1" s="1903"/>
      <c r="F1" s="1903"/>
      <c r="G1" s="1903"/>
      <c r="H1" s="1903"/>
      <c r="I1" s="1903"/>
      <c r="J1" s="1903"/>
      <c r="K1" s="1903"/>
      <c r="L1" s="1903"/>
      <c r="M1" s="1903"/>
      <c r="N1" s="1903"/>
      <c r="O1" s="1903"/>
    </row>
    <row r="2" spans="1:27" ht="46.5" customHeight="1" thickBot="1">
      <c r="A2" s="1904" t="s">
        <v>1438</v>
      </c>
      <c r="B2" s="1904"/>
      <c r="C2" s="1904"/>
      <c r="D2" s="1904"/>
      <c r="E2" s="1904"/>
      <c r="F2" s="1904"/>
      <c r="G2" s="1904"/>
      <c r="H2" s="1904"/>
      <c r="I2" s="1904"/>
      <c r="J2" s="1904"/>
      <c r="K2" s="1904"/>
      <c r="L2" s="1904"/>
      <c r="M2" s="1904"/>
      <c r="N2" s="1904"/>
      <c r="O2" s="1904"/>
      <c r="P2" s="1904"/>
      <c r="Q2" s="1904"/>
      <c r="R2" s="1904"/>
      <c r="S2" s="1904"/>
      <c r="T2" s="1904"/>
      <c r="U2" s="1904"/>
      <c r="V2" s="1904"/>
      <c r="W2" s="1904"/>
      <c r="X2" s="1904"/>
    </row>
    <row r="3" spans="1:27" s="1025" customFormat="1" ht="15.75" customHeight="1">
      <c r="A3" s="1905" t="s">
        <v>1221</v>
      </c>
      <c r="B3" s="1693" t="s">
        <v>121</v>
      </c>
      <c r="C3" s="1575">
        <v>2009</v>
      </c>
      <c r="D3" s="1908">
        <v>2010</v>
      </c>
      <c r="E3" s="1908"/>
      <c r="F3" s="1908"/>
      <c r="G3" s="1908">
        <v>2011</v>
      </c>
      <c r="H3" s="1908"/>
      <c r="I3" s="1908"/>
      <c r="J3" s="1908">
        <v>2012</v>
      </c>
      <c r="K3" s="1908"/>
      <c r="L3" s="1908"/>
      <c r="M3" s="1908">
        <v>2013</v>
      </c>
      <c r="N3" s="1908"/>
      <c r="O3" s="1908"/>
      <c r="P3" s="1908">
        <v>2014</v>
      </c>
      <c r="Q3" s="1908"/>
      <c r="R3" s="1908"/>
      <c r="S3" s="1908">
        <v>2015</v>
      </c>
      <c r="T3" s="1908"/>
      <c r="U3" s="1908"/>
      <c r="V3" s="1908">
        <v>2016</v>
      </c>
      <c r="W3" s="1908"/>
      <c r="X3" s="1910"/>
      <c r="Y3" s="1582"/>
      <c r="Z3" s="1582"/>
      <c r="AA3" s="1582"/>
    </row>
    <row r="4" spans="1:27" s="1025" customFormat="1" ht="30.75" customHeight="1">
      <c r="A4" s="1906"/>
      <c r="B4" s="1694" t="s">
        <v>1190</v>
      </c>
      <c r="C4" s="1694" t="s">
        <v>1222</v>
      </c>
      <c r="D4" s="1694" t="s">
        <v>1222</v>
      </c>
      <c r="E4" s="1911" t="s">
        <v>1223</v>
      </c>
      <c r="F4" s="1911"/>
      <c r="G4" s="1694" t="s">
        <v>1222</v>
      </c>
      <c r="H4" s="1911" t="s">
        <v>1223</v>
      </c>
      <c r="I4" s="1911"/>
      <c r="J4" s="1694" t="s">
        <v>1222</v>
      </c>
      <c r="K4" s="1911" t="s">
        <v>1223</v>
      </c>
      <c r="L4" s="1911"/>
      <c r="M4" s="1694" t="s">
        <v>1222</v>
      </c>
      <c r="N4" s="1911" t="s">
        <v>1223</v>
      </c>
      <c r="O4" s="1911"/>
      <c r="P4" s="1694" t="s">
        <v>1222</v>
      </c>
      <c r="Q4" s="1911" t="s">
        <v>1223</v>
      </c>
      <c r="R4" s="1911"/>
      <c r="S4" s="1694" t="s">
        <v>1222</v>
      </c>
      <c r="T4" s="1911" t="s">
        <v>1223</v>
      </c>
      <c r="U4" s="1911"/>
      <c r="V4" s="1694" t="s">
        <v>1222</v>
      </c>
      <c r="W4" s="1911" t="s">
        <v>1223</v>
      </c>
      <c r="X4" s="1912"/>
      <c r="Y4" s="1582"/>
      <c r="Z4" s="1582"/>
      <c r="AA4" s="1582"/>
    </row>
    <row r="5" spans="1:27" s="1025" customFormat="1">
      <c r="A5" s="1907"/>
      <c r="B5" s="1583"/>
      <c r="C5" s="1584"/>
      <c r="D5" s="1583"/>
      <c r="E5" s="1583" t="s">
        <v>1224</v>
      </c>
      <c r="F5" s="1583" t="s">
        <v>1225</v>
      </c>
      <c r="G5" s="1583"/>
      <c r="H5" s="1583" t="s">
        <v>1224</v>
      </c>
      <c r="I5" s="1583" t="s">
        <v>1225</v>
      </c>
      <c r="J5" s="1583"/>
      <c r="K5" s="1583" t="s">
        <v>1224</v>
      </c>
      <c r="L5" s="1583" t="s">
        <v>1225</v>
      </c>
      <c r="M5" s="1583"/>
      <c r="N5" s="1583" t="s">
        <v>1224</v>
      </c>
      <c r="O5" s="1583" t="s">
        <v>1225</v>
      </c>
      <c r="P5" s="1583"/>
      <c r="Q5" s="1583" t="s">
        <v>1224</v>
      </c>
      <c r="R5" s="1583" t="s">
        <v>1225</v>
      </c>
      <c r="S5" s="1583"/>
      <c r="T5" s="1583" t="s">
        <v>1224</v>
      </c>
      <c r="U5" s="1583" t="s">
        <v>1225</v>
      </c>
      <c r="V5" s="1583"/>
      <c r="W5" s="1583" t="s">
        <v>1224</v>
      </c>
      <c r="X5" s="1585" t="s">
        <v>1225</v>
      </c>
      <c r="Y5" s="1582"/>
      <c r="Z5" s="1582"/>
      <c r="AA5" s="1582"/>
    </row>
    <row r="6" spans="1:27" s="1030" customFormat="1" ht="15.75" customHeight="1">
      <c r="A6" s="1026" t="s">
        <v>1226</v>
      </c>
      <c r="B6" s="1027">
        <v>72000</v>
      </c>
      <c r="C6" s="1586"/>
      <c r="D6" s="1586"/>
      <c r="E6" s="1586"/>
      <c r="F6" s="1586"/>
      <c r="G6" s="1586"/>
      <c r="H6" s="1586"/>
      <c r="I6" s="1586"/>
      <c r="J6" s="1586"/>
      <c r="K6" s="1586"/>
      <c r="L6" s="1586"/>
      <c r="M6" s="1586"/>
      <c r="N6" s="1586"/>
      <c r="O6" s="1586"/>
      <c r="P6" s="1027">
        <v>30000</v>
      </c>
      <c r="Q6" s="1028">
        <f>P6*0.15</f>
        <v>4500</v>
      </c>
      <c r="R6" s="1029">
        <f>P6*0.85/2</f>
        <v>12750</v>
      </c>
      <c r="S6" s="1027">
        <f>B6-P6</f>
        <v>42000</v>
      </c>
      <c r="T6" s="1028">
        <f>S6*0.15</f>
        <v>6300</v>
      </c>
      <c r="U6" s="1029">
        <f>S6*0.85/2+R6</f>
        <v>30600</v>
      </c>
      <c r="V6" s="1595">
        <v>0</v>
      </c>
      <c r="W6" s="1586">
        <v>0</v>
      </c>
      <c r="X6" s="1587">
        <f>S6*0.85/2</f>
        <v>17850</v>
      </c>
      <c r="Y6" s="1588"/>
      <c r="Z6" s="1589"/>
      <c r="AA6" s="1590"/>
    </row>
    <row r="7" spans="1:27" s="1030" customFormat="1" ht="15.75" customHeight="1">
      <c r="A7" s="1031" t="s">
        <v>1227</v>
      </c>
      <c r="B7" s="1032">
        <v>147400</v>
      </c>
      <c r="C7" s="1591"/>
      <c r="D7" s="1591"/>
      <c r="E7" s="1591"/>
      <c r="F7" s="1591"/>
      <c r="G7" s="1591"/>
      <c r="H7" s="1591"/>
      <c r="I7" s="1591"/>
      <c r="J7" s="1591"/>
      <c r="K7" s="1591"/>
      <c r="L7" s="1591"/>
      <c r="M7" s="1032">
        <v>1000</v>
      </c>
      <c r="N7" s="1592">
        <f>B7-Q7-R7-T7-U7-X7</f>
        <v>676.92000000001644</v>
      </c>
      <c r="O7" s="1591"/>
      <c r="P7" s="1032">
        <f>50000-10000</f>
        <v>40000</v>
      </c>
      <c r="Q7" s="1033">
        <f>P7-P7*0.3284</f>
        <v>26864</v>
      </c>
      <c r="R7" s="1032">
        <f>P7*0.3284/2+M7*0.3284</f>
        <v>6896.4000000000005</v>
      </c>
      <c r="S7" s="1032">
        <f>B7-P7-M7</f>
        <v>106400</v>
      </c>
      <c r="T7" s="1033">
        <f>S7-S7*0.3284</f>
        <v>71458.239999999991</v>
      </c>
      <c r="U7" s="1032">
        <f>S7*0.3284/2+P7*0.3284/2</f>
        <v>24038.880000000001</v>
      </c>
      <c r="V7" s="1703">
        <v>0</v>
      </c>
      <c r="W7" s="1591">
        <v>0</v>
      </c>
      <c r="X7" s="1696">
        <f>S7*0.3283/2</f>
        <v>17465.559999999998</v>
      </c>
      <c r="Y7" s="1588"/>
      <c r="Z7" s="1589"/>
      <c r="AA7" s="1590"/>
    </row>
    <row r="8" spans="1:27" s="1030" customFormat="1" ht="15.75" customHeight="1">
      <c r="A8" s="1026" t="s">
        <v>1152</v>
      </c>
      <c r="B8" s="1704">
        <v>2737.3339999999998</v>
      </c>
      <c r="C8" s="1586"/>
      <c r="D8" s="1586"/>
      <c r="E8" s="1586"/>
      <c r="F8" s="1586"/>
      <c r="G8" s="1586"/>
      <c r="H8" s="1586"/>
      <c r="I8" s="1586"/>
      <c r="J8" s="1586"/>
      <c r="K8" s="1586"/>
      <c r="L8" s="1586"/>
      <c r="M8" s="1027"/>
      <c r="N8" s="1586"/>
      <c r="O8" s="1586"/>
      <c r="P8" s="1027">
        <v>2737.3339999999998</v>
      </c>
      <c r="Q8" s="1028">
        <f>P8-R8</f>
        <v>273.73299999999972</v>
      </c>
      <c r="R8" s="1593">
        <v>2463.6010000000001</v>
      </c>
      <c r="S8" s="1595">
        <v>0</v>
      </c>
      <c r="T8" s="1586">
        <v>0</v>
      </c>
      <c r="U8" s="1593"/>
      <c r="V8" s="1595">
        <v>0</v>
      </c>
      <c r="W8" s="1586">
        <v>0</v>
      </c>
      <c r="X8" s="1587">
        <v>0</v>
      </c>
      <c r="Y8" s="1588"/>
      <c r="Z8" s="1589"/>
      <c r="AA8" s="1590"/>
    </row>
    <row r="9" spans="1:27" s="1030" customFormat="1" ht="15.75" customHeight="1">
      <c r="A9" s="1026" t="s">
        <v>1228</v>
      </c>
      <c r="B9" s="1027">
        <v>3906</v>
      </c>
      <c r="C9" s="1586"/>
      <c r="D9" s="1586"/>
      <c r="E9" s="1586"/>
      <c r="F9" s="1586"/>
      <c r="G9" s="1586"/>
      <c r="H9" s="1586"/>
      <c r="I9" s="1586"/>
      <c r="J9" s="1586"/>
      <c r="K9" s="1586"/>
      <c r="L9" s="1586"/>
      <c r="M9" s="1027">
        <v>3906</v>
      </c>
      <c r="N9" s="1586">
        <v>3909.6</v>
      </c>
      <c r="O9" s="1586"/>
      <c r="P9" s="1586"/>
      <c r="Q9" s="1697"/>
      <c r="R9" s="1593">
        <v>3515.4</v>
      </c>
      <c r="S9" s="1595">
        <v>0</v>
      </c>
      <c r="T9" s="1586">
        <v>0</v>
      </c>
      <c r="U9" s="1593"/>
      <c r="V9" s="1595">
        <v>0</v>
      </c>
      <c r="W9" s="1586">
        <v>0</v>
      </c>
      <c r="X9" s="1587">
        <v>0</v>
      </c>
      <c r="Y9" s="1588"/>
      <c r="Z9" s="1589"/>
      <c r="AA9" s="1590"/>
    </row>
    <row r="10" spans="1:27" s="1030" customFormat="1" ht="15.75" hidden="1" customHeight="1">
      <c r="A10" s="1594" t="s">
        <v>1229</v>
      </c>
      <c r="B10" s="1595"/>
      <c r="C10" s="1586"/>
      <c r="D10" s="1586"/>
      <c r="E10" s="1586"/>
      <c r="F10" s="1586"/>
      <c r="G10" s="1586"/>
      <c r="H10" s="1586"/>
      <c r="I10" s="1586"/>
      <c r="J10" s="1586"/>
      <c r="K10" s="1586"/>
      <c r="L10" s="1586"/>
      <c r="M10" s="1586"/>
      <c r="N10" s="1586"/>
      <c r="O10" s="1596"/>
      <c r="P10" s="1595"/>
      <c r="Q10" s="1586"/>
      <c r="R10" s="1593"/>
      <c r="S10" s="1595"/>
      <c r="T10" s="1586"/>
      <c r="U10" s="1593"/>
      <c r="V10" s="1595"/>
      <c r="W10" s="1586"/>
      <c r="X10" s="1587"/>
      <c r="Y10" s="1588"/>
      <c r="Z10" s="1589"/>
      <c r="AA10" s="1589"/>
    </row>
    <row r="11" spans="1:27" s="1030" customFormat="1" ht="15.75" hidden="1" customHeight="1">
      <c r="A11" s="1594" t="s">
        <v>1230</v>
      </c>
      <c r="B11" s="1595"/>
      <c r="C11" s="1586"/>
      <c r="D11" s="1586"/>
      <c r="E11" s="1586"/>
      <c r="F11" s="1586"/>
      <c r="G11" s="1586"/>
      <c r="H11" s="1586"/>
      <c r="I11" s="1586"/>
      <c r="J11" s="1586"/>
      <c r="K11" s="1586"/>
      <c r="L11" s="1586"/>
      <c r="M11" s="1586"/>
      <c r="N11" s="1586"/>
      <c r="O11" s="1596"/>
      <c r="P11" s="1595"/>
      <c r="Q11" s="1586"/>
      <c r="R11" s="1593"/>
      <c r="S11" s="1595"/>
      <c r="T11" s="1586"/>
      <c r="U11" s="1593"/>
      <c r="V11" s="1595"/>
      <c r="W11" s="1586"/>
      <c r="X11" s="1587"/>
      <c r="Y11" s="1588"/>
      <c r="Z11" s="1589"/>
      <c r="AA11" s="1589"/>
    </row>
    <row r="12" spans="1:27" s="1030" customFormat="1" ht="15.75" customHeight="1">
      <c r="A12" s="1594" t="s">
        <v>1231</v>
      </c>
      <c r="B12" s="1595">
        <v>10800</v>
      </c>
      <c r="C12" s="1586"/>
      <c r="D12" s="1586"/>
      <c r="E12" s="1586"/>
      <c r="F12" s="1586"/>
      <c r="G12" s="1586"/>
      <c r="H12" s="1586"/>
      <c r="I12" s="1586"/>
      <c r="J12" s="1586"/>
      <c r="K12" s="1586"/>
      <c r="L12" s="1586"/>
      <c r="M12" s="1586">
        <v>600</v>
      </c>
      <c r="N12" s="1586">
        <v>350</v>
      </c>
      <c r="O12" s="1596">
        <v>0</v>
      </c>
      <c r="P12" s="1595">
        <v>0</v>
      </c>
      <c r="Q12" s="1586">
        <v>0</v>
      </c>
      <c r="R12" s="1593">
        <v>0</v>
      </c>
      <c r="S12" s="1595">
        <v>0</v>
      </c>
      <c r="T12" s="1586">
        <v>0</v>
      </c>
      <c r="U12" s="1593">
        <v>0</v>
      </c>
      <c r="V12" s="1595">
        <v>0</v>
      </c>
      <c r="W12" s="1586">
        <v>0</v>
      </c>
      <c r="X12" s="1587">
        <v>0</v>
      </c>
      <c r="Y12" s="1588"/>
      <c r="Z12" s="1589"/>
      <c r="AA12" s="1589"/>
    </row>
    <row r="13" spans="1:27" s="1030" customFormat="1" ht="15.75" customHeight="1">
      <c r="A13" s="1594" t="s">
        <v>1232</v>
      </c>
      <c r="B13" s="1595"/>
      <c r="C13" s="1586"/>
      <c r="D13" s="1586"/>
      <c r="E13" s="1586"/>
      <c r="F13" s="1586"/>
      <c r="G13" s="1586"/>
      <c r="H13" s="1586"/>
      <c r="I13" s="1586"/>
      <c r="J13" s="1586"/>
      <c r="K13" s="1586"/>
      <c r="L13" s="1586"/>
      <c r="M13" s="1586">
        <v>7800</v>
      </c>
      <c r="N13" s="1586">
        <v>7800</v>
      </c>
      <c r="O13" s="1596">
        <v>0</v>
      </c>
      <c r="P13" s="1595">
        <v>0</v>
      </c>
      <c r="Q13" s="1586">
        <v>0</v>
      </c>
      <c r="R13" s="1593">
        <v>0</v>
      </c>
      <c r="S13" s="1595">
        <v>0</v>
      </c>
      <c r="T13" s="1586">
        <v>0</v>
      </c>
      <c r="U13" s="1593">
        <v>0</v>
      </c>
      <c r="V13" s="1595">
        <v>0</v>
      </c>
      <c r="W13" s="1586">
        <v>0</v>
      </c>
      <c r="X13" s="1587">
        <v>0</v>
      </c>
      <c r="Y13" s="1588"/>
      <c r="Z13" s="1589"/>
      <c r="AA13" s="1589"/>
    </row>
    <row r="14" spans="1:27" s="1030" customFormat="1" ht="15.75" customHeight="1">
      <c r="A14" s="1594" t="s">
        <v>301</v>
      </c>
      <c r="B14" s="1595"/>
      <c r="C14" s="1586"/>
      <c r="D14" s="1586"/>
      <c r="E14" s="1586"/>
      <c r="F14" s="1586"/>
      <c r="G14" s="1586"/>
      <c r="H14" s="1586"/>
      <c r="I14" s="1586"/>
      <c r="J14" s="1586"/>
      <c r="K14" s="1586"/>
      <c r="L14" s="1586"/>
      <c r="M14" s="1586">
        <v>6900</v>
      </c>
      <c r="N14" s="1586">
        <f>M14-R14</f>
        <v>3200</v>
      </c>
      <c r="O14" s="1596">
        <v>0</v>
      </c>
      <c r="P14" s="1595">
        <v>0</v>
      </c>
      <c r="Q14" s="1586">
        <v>0</v>
      </c>
      <c r="R14" s="1593">
        <v>3700</v>
      </c>
      <c r="S14" s="1595">
        <v>0</v>
      </c>
      <c r="T14" s="1586">
        <v>0</v>
      </c>
      <c r="U14" s="1593">
        <v>0</v>
      </c>
      <c r="V14" s="1595">
        <v>0</v>
      </c>
      <c r="W14" s="1586">
        <v>0</v>
      </c>
      <c r="X14" s="1587">
        <v>0</v>
      </c>
      <c r="Y14" s="1588"/>
      <c r="Z14" s="1589"/>
      <c r="AA14" s="1589"/>
    </row>
    <row r="15" spans="1:27" s="1030" customFormat="1" ht="15.75" hidden="1" customHeight="1">
      <c r="A15" s="1597" t="s">
        <v>1233</v>
      </c>
      <c r="B15" s="1595"/>
      <c r="C15" s="1586"/>
      <c r="D15" s="1586"/>
      <c r="E15" s="1586"/>
      <c r="F15" s="1586"/>
      <c r="G15" s="1586"/>
      <c r="H15" s="1586"/>
      <c r="I15" s="1586"/>
      <c r="J15" s="1586"/>
      <c r="K15" s="1586"/>
      <c r="L15" s="1586"/>
      <c r="M15" s="1586"/>
      <c r="N15" s="1586"/>
      <c r="O15" s="1586"/>
      <c r="P15" s="1595"/>
      <c r="Q15" s="1586"/>
      <c r="R15" s="1593"/>
      <c r="S15" s="1595"/>
      <c r="T15" s="1586"/>
      <c r="U15" s="1593"/>
      <c r="V15" s="1595"/>
      <c r="W15" s="1586"/>
      <c r="X15" s="1587"/>
      <c r="Y15" s="1588"/>
      <c r="Z15" s="1589"/>
      <c r="AA15" s="1589"/>
    </row>
    <row r="16" spans="1:27" s="1030" customFormat="1" ht="15.75" hidden="1" customHeight="1">
      <c r="A16" s="1597"/>
      <c r="B16" s="1595"/>
      <c r="C16" s="1586"/>
      <c r="D16" s="1586"/>
      <c r="E16" s="1586"/>
      <c r="F16" s="1586"/>
      <c r="G16" s="1586"/>
      <c r="H16" s="1586"/>
      <c r="I16" s="1586"/>
      <c r="J16" s="1586"/>
      <c r="K16" s="1586"/>
      <c r="L16" s="1586"/>
      <c r="M16" s="1586"/>
      <c r="N16" s="1586"/>
      <c r="O16" s="1586"/>
      <c r="P16" s="1595"/>
      <c r="Q16" s="1586"/>
      <c r="R16" s="1593"/>
      <c r="S16" s="1595"/>
      <c r="T16" s="1586"/>
      <c r="U16" s="1593"/>
      <c r="V16" s="1595"/>
      <c r="W16" s="1586"/>
      <c r="X16" s="1587"/>
      <c r="Y16" s="1588"/>
      <c r="Z16" s="1589"/>
      <c r="AA16" s="1589"/>
    </row>
    <row r="17" spans="1:27" s="1030" customFormat="1" ht="15.75" hidden="1" customHeight="1">
      <c r="A17" s="1597"/>
      <c r="B17" s="1595"/>
      <c r="C17" s="1586"/>
      <c r="D17" s="1586"/>
      <c r="E17" s="1586"/>
      <c r="F17" s="1586"/>
      <c r="G17" s="1586"/>
      <c r="H17" s="1586"/>
      <c r="I17" s="1586"/>
      <c r="J17" s="1586"/>
      <c r="K17" s="1586"/>
      <c r="L17" s="1586"/>
      <c r="M17" s="1586"/>
      <c r="N17" s="1586"/>
      <c r="O17" s="1586"/>
      <c r="P17" s="1595"/>
      <c r="Q17" s="1586"/>
      <c r="R17" s="1593"/>
      <c r="S17" s="1595"/>
      <c r="T17" s="1586"/>
      <c r="U17" s="1593"/>
      <c r="V17" s="1595"/>
      <c r="W17" s="1586"/>
      <c r="X17" s="1587"/>
      <c r="Y17" s="1588"/>
      <c r="Z17" s="1589"/>
      <c r="AA17" s="1589"/>
    </row>
    <row r="18" spans="1:27" s="1030" customFormat="1" ht="15.75" hidden="1" customHeight="1">
      <c r="A18" s="1597"/>
      <c r="B18" s="1595"/>
      <c r="C18" s="1586"/>
      <c r="D18" s="1586"/>
      <c r="E18" s="1586"/>
      <c r="F18" s="1586"/>
      <c r="G18" s="1586"/>
      <c r="H18" s="1586"/>
      <c r="I18" s="1586"/>
      <c r="J18" s="1586"/>
      <c r="K18" s="1586"/>
      <c r="L18" s="1586"/>
      <c r="M18" s="1586"/>
      <c r="N18" s="1586"/>
      <c r="O18" s="1586"/>
      <c r="P18" s="1595"/>
      <c r="Q18" s="1586"/>
      <c r="R18" s="1593"/>
      <c r="S18" s="1595"/>
      <c r="T18" s="1586"/>
      <c r="U18" s="1593"/>
      <c r="V18" s="1595"/>
      <c r="W18" s="1586"/>
      <c r="X18" s="1587"/>
      <c r="Y18" s="1588"/>
      <c r="Z18" s="1589"/>
      <c r="AA18" s="1589"/>
    </row>
    <row r="19" spans="1:27" s="1030" customFormat="1" ht="15.75" hidden="1" customHeight="1">
      <c r="A19" s="1597"/>
      <c r="B19" s="1595"/>
      <c r="C19" s="1586"/>
      <c r="D19" s="1586"/>
      <c r="E19" s="1586"/>
      <c r="F19" s="1586"/>
      <c r="G19" s="1586"/>
      <c r="H19" s="1586"/>
      <c r="I19" s="1586"/>
      <c r="J19" s="1586"/>
      <c r="K19" s="1586"/>
      <c r="L19" s="1586"/>
      <c r="M19" s="1586"/>
      <c r="N19" s="1586"/>
      <c r="O19" s="1586"/>
      <c r="P19" s="1595"/>
      <c r="Q19" s="1586"/>
      <c r="R19" s="1593"/>
      <c r="S19" s="1595"/>
      <c r="T19" s="1586"/>
      <c r="U19" s="1593"/>
      <c r="V19" s="1595"/>
      <c r="W19" s="1586"/>
      <c r="X19" s="1587"/>
      <c r="Y19" s="1588"/>
      <c r="Z19" s="1589"/>
      <c r="AA19" s="1589"/>
    </row>
    <row r="20" spans="1:27" s="1030" customFormat="1" ht="15.75" hidden="1" customHeight="1">
      <c r="A20" s="1597"/>
      <c r="B20" s="1595"/>
      <c r="C20" s="1586"/>
      <c r="D20" s="1586"/>
      <c r="E20" s="1586"/>
      <c r="F20" s="1586"/>
      <c r="G20" s="1586"/>
      <c r="H20" s="1586"/>
      <c r="I20" s="1586"/>
      <c r="J20" s="1586"/>
      <c r="K20" s="1586"/>
      <c r="L20" s="1586"/>
      <c r="M20" s="1586"/>
      <c r="N20" s="1586"/>
      <c r="O20" s="1586"/>
      <c r="P20" s="1595"/>
      <c r="Q20" s="1586"/>
      <c r="R20" s="1593"/>
      <c r="S20" s="1595"/>
      <c r="T20" s="1586"/>
      <c r="U20" s="1593"/>
      <c r="V20" s="1595"/>
      <c r="W20" s="1586"/>
      <c r="X20" s="1587"/>
      <c r="Y20" s="1588"/>
      <c r="Z20" s="1589"/>
      <c r="AA20" s="1589"/>
    </row>
    <row r="21" spans="1:27" s="1030" customFormat="1" ht="15.75" hidden="1" customHeight="1">
      <c r="A21" s="1597"/>
      <c r="B21" s="1595"/>
      <c r="C21" s="1586"/>
      <c r="D21" s="1586"/>
      <c r="E21" s="1586"/>
      <c r="F21" s="1586"/>
      <c r="G21" s="1586"/>
      <c r="H21" s="1586"/>
      <c r="I21" s="1586"/>
      <c r="J21" s="1586"/>
      <c r="K21" s="1586"/>
      <c r="L21" s="1586"/>
      <c r="M21" s="1586"/>
      <c r="N21" s="1586"/>
      <c r="O21" s="1586"/>
      <c r="P21" s="1595"/>
      <c r="Q21" s="1586"/>
      <c r="R21" s="1593"/>
      <c r="S21" s="1595"/>
      <c r="T21" s="1586"/>
      <c r="U21" s="1593"/>
      <c r="V21" s="1595"/>
      <c r="W21" s="1586"/>
      <c r="X21" s="1587"/>
      <c r="Y21" s="1588"/>
      <c r="Z21" s="1589"/>
      <c r="AA21" s="1589"/>
    </row>
    <row r="22" spans="1:27" s="1030" customFormat="1" ht="15.75" hidden="1" customHeight="1">
      <c r="A22" s="1597"/>
      <c r="B22" s="1595"/>
      <c r="C22" s="1586"/>
      <c r="D22" s="1586"/>
      <c r="E22" s="1586"/>
      <c r="F22" s="1586"/>
      <c r="G22" s="1586"/>
      <c r="H22" s="1586"/>
      <c r="I22" s="1586"/>
      <c r="J22" s="1586"/>
      <c r="K22" s="1586"/>
      <c r="L22" s="1586"/>
      <c r="M22" s="1586"/>
      <c r="N22" s="1586"/>
      <c r="O22" s="1586"/>
      <c r="P22" s="1595"/>
      <c r="Q22" s="1586"/>
      <c r="R22" s="1593"/>
      <c r="S22" s="1595"/>
      <c r="T22" s="1586"/>
      <c r="U22" s="1593"/>
      <c r="V22" s="1595"/>
      <c r="W22" s="1586"/>
      <c r="X22" s="1587"/>
      <c r="Y22" s="1588"/>
      <c r="Z22" s="1589"/>
      <c r="AA22" s="1589"/>
    </row>
    <row r="23" spans="1:27" s="1030" customFormat="1" ht="15.75" customHeight="1">
      <c r="A23" s="1597" t="s">
        <v>1234</v>
      </c>
      <c r="B23" s="1595"/>
      <c r="C23" s="1586"/>
      <c r="D23" s="1586"/>
      <c r="E23" s="1586"/>
      <c r="F23" s="1586"/>
      <c r="G23" s="1586">
        <v>0</v>
      </c>
      <c r="H23" s="1586">
        <v>0</v>
      </c>
      <c r="I23" s="1586">
        <v>0</v>
      </c>
      <c r="J23" s="1586">
        <v>56182</v>
      </c>
      <c r="K23" s="1586">
        <f>B23-L23-O23</f>
        <v>-72248.275999999998</v>
      </c>
      <c r="L23" s="1596"/>
      <c r="M23" s="1586">
        <f>85000-J23</f>
        <v>28818</v>
      </c>
      <c r="N23" s="1586">
        <v>0</v>
      </c>
      <c r="O23" s="1586">
        <f>45048.276+27200</f>
        <v>72248.275999999998</v>
      </c>
      <c r="P23" s="1595">
        <v>0</v>
      </c>
      <c r="Q23" s="1586">
        <v>0</v>
      </c>
      <c r="R23" s="1593">
        <v>0</v>
      </c>
      <c r="S23" s="1595">
        <v>0</v>
      </c>
      <c r="T23" s="1586">
        <v>0</v>
      </c>
      <c r="U23" s="1593">
        <v>0</v>
      </c>
      <c r="V23" s="1595">
        <v>0</v>
      </c>
      <c r="W23" s="1586">
        <v>0</v>
      </c>
      <c r="X23" s="1587">
        <v>0</v>
      </c>
      <c r="Y23" s="1598"/>
      <c r="Z23" s="1589"/>
      <c r="AA23" s="1589"/>
    </row>
    <row r="24" spans="1:27" s="1030" customFormat="1" ht="15.75" customHeight="1">
      <c r="A24" s="1599" t="s">
        <v>1235</v>
      </c>
      <c r="B24" s="1595"/>
      <c r="C24" s="1586">
        <v>2764</v>
      </c>
      <c r="D24" s="1586">
        <v>358</v>
      </c>
      <c r="E24" s="1586">
        <f>D24</f>
        <v>358</v>
      </c>
      <c r="F24" s="1586">
        <v>0</v>
      </c>
      <c r="G24" s="1586">
        <v>100000</v>
      </c>
      <c r="H24" s="1586">
        <f>G24*0.15</f>
        <v>15000</v>
      </c>
      <c r="I24" s="1586">
        <v>0</v>
      </c>
      <c r="J24" s="1586">
        <v>180000</v>
      </c>
      <c r="K24" s="1586">
        <f>J24+G24-H24-L24-O24</f>
        <v>71490</v>
      </c>
      <c r="L24" s="1586">
        <v>0</v>
      </c>
      <c r="M24" s="1586">
        <v>0</v>
      </c>
      <c r="N24" s="1586">
        <v>0</v>
      </c>
      <c r="O24" s="1596">
        <f>167000+45000-18490</f>
        <v>193510</v>
      </c>
      <c r="P24" s="1595">
        <v>0</v>
      </c>
      <c r="Q24" s="1586">
        <v>0</v>
      </c>
      <c r="R24" s="1593">
        <v>0</v>
      </c>
      <c r="S24" s="1595">
        <v>0</v>
      </c>
      <c r="T24" s="1586">
        <v>0</v>
      </c>
      <c r="U24" s="1593">
        <v>0</v>
      </c>
      <c r="V24" s="1595">
        <v>0</v>
      </c>
      <c r="W24" s="1586">
        <v>0</v>
      </c>
      <c r="X24" s="1587">
        <v>0</v>
      </c>
      <c r="Y24" s="1588"/>
      <c r="Z24" s="1589"/>
      <c r="AA24" s="1589"/>
    </row>
    <row r="25" spans="1:27" s="1030" customFormat="1" ht="15.75" customHeight="1">
      <c r="A25" s="1599" t="s">
        <v>1236</v>
      </c>
      <c r="B25" s="1595"/>
      <c r="C25" s="1586">
        <v>0</v>
      </c>
      <c r="D25" s="1586">
        <v>0</v>
      </c>
      <c r="E25" s="1586">
        <v>0</v>
      </c>
      <c r="F25" s="1586">
        <v>0</v>
      </c>
      <c r="G25" s="1586">
        <v>0</v>
      </c>
      <c r="H25" s="1586">
        <v>0</v>
      </c>
      <c r="I25" s="1586">
        <v>0</v>
      </c>
      <c r="J25" s="1586">
        <v>7650</v>
      </c>
      <c r="K25" s="1586">
        <v>1150</v>
      </c>
      <c r="L25" s="1586">
        <v>0</v>
      </c>
      <c r="M25" s="1586">
        <v>0</v>
      </c>
      <c r="N25" s="1586">
        <v>0</v>
      </c>
      <c r="O25" s="1596">
        <v>6500</v>
      </c>
      <c r="P25" s="1595">
        <v>0</v>
      </c>
      <c r="Q25" s="1586">
        <v>0</v>
      </c>
      <c r="R25" s="1593">
        <v>0</v>
      </c>
      <c r="S25" s="1595">
        <v>0</v>
      </c>
      <c r="T25" s="1586">
        <v>0</v>
      </c>
      <c r="U25" s="1593">
        <v>0</v>
      </c>
      <c r="V25" s="1595">
        <v>0</v>
      </c>
      <c r="W25" s="1586">
        <v>0</v>
      </c>
      <c r="X25" s="1587">
        <v>0</v>
      </c>
      <c r="Y25" s="1588"/>
      <c r="Z25" s="1589"/>
      <c r="AA25" s="1589"/>
    </row>
    <row r="26" spans="1:27" s="1030" customFormat="1">
      <c r="A26" s="1026" t="s">
        <v>1237</v>
      </c>
      <c r="B26" s="1595">
        <v>8200</v>
      </c>
      <c r="C26" s="1586"/>
      <c r="D26" s="1586"/>
      <c r="E26" s="1586"/>
      <c r="F26" s="1586"/>
      <c r="G26" s="1586"/>
      <c r="H26" s="1586"/>
      <c r="I26" s="1586"/>
      <c r="J26" s="1586"/>
      <c r="K26" s="1586"/>
      <c r="L26" s="1586"/>
      <c r="M26" s="1586"/>
      <c r="N26" s="1586"/>
      <c r="O26" s="1586"/>
      <c r="P26" s="1027">
        <v>8200</v>
      </c>
      <c r="Q26" s="1586">
        <v>0</v>
      </c>
      <c r="R26" s="1593">
        <v>0</v>
      </c>
      <c r="S26" s="1595">
        <v>0</v>
      </c>
      <c r="T26" s="1586">
        <v>0</v>
      </c>
      <c r="U26" s="1909">
        <v>12200</v>
      </c>
      <c r="V26" s="1595">
        <v>0</v>
      </c>
      <c r="W26" s="1586">
        <v>0</v>
      </c>
      <c r="X26" s="1587">
        <v>0</v>
      </c>
      <c r="Y26" s="1588"/>
      <c r="Z26" s="1589"/>
      <c r="AA26" s="1589"/>
    </row>
    <row r="27" spans="1:27" s="1030" customFormat="1">
      <c r="A27" s="1026" t="s">
        <v>1238</v>
      </c>
      <c r="B27" s="1595">
        <v>6200</v>
      </c>
      <c r="C27" s="1586"/>
      <c r="D27" s="1586"/>
      <c r="E27" s="1586"/>
      <c r="F27" s="1586"/>
      <c r="G27" s="1586"/>
      <c r="H27" s="1586"/>
      <c r="I27" s="1586"/>
      <c r="J27" s="1586"/>
      <c r="K27" s="1586"/>
      <c r="L27" s="1586"/>
      <c r="M27" s="1586"/>
      <c r="N27" s="1586"/>
      <c r="O27" s="1586"/>
      <c r="P27" s="1027">
        <v>6200</v>
      </c>
      <c r="Q27" s="1586">
        <v>0</v>
      </c>
      <c r="R27" s="1593">
        <v>0</v>
      </c>
      <c r="S27" s="1595">
        <v>0</v>
      </c>
      <c r="T27" s="1586">
        <v>0</v>
      </c>
      <c r="U27" s="1909"/>
      <c r="V27" s="1595">
        <v>0</v>
      </c>
      <c r="W27" s="1586">
        <v>0</v>
      </c>
      <c r="X27" s="1587">
        <v>0</v>
      </c>
      <c r="Y27" s="1588"/>
      <c r="Z27" s="1589"/>
      <c r="AA27" s="1589"/>
    </row>
    <row r="28" spans="1:27" s="1030" customFormat="1" ht="15.75" customHeight="1">
      <c r="A28" s="1698" t="s">
        <v>1239</v>
      </c>
      <c r="B28" s="1595"/>
      <c r="C28" s="1586"/>
      <c r="D28" s="1586"/>
      <c r="E28" s="1586"/>
      <c r="F28" s="1586"/>
      <c r="G28" s="1586"/>
      <c r="H28" s="1586"/>
      <c r="I28" s="1586"/>
      <c r="J28" s="1586"/>
      <c r="K28" s="1586"/>
      <c r="L28" s="1586"/>
      <c r="M28" s="1586"/>
      <c r="N28" s="1586"/>
      <c r="O28" s="1596"/>
      <c r="P28" s="1595">
        <v>10533.9</v>
      </c>
      <c r="Q28" s="1586">
        <f t="shared" ref="Q28:Q34" si="0">P28-U28</f>
        <v>1580.0850000000009</v>
      </c>
      <c r="R28" s="1593">
        <v>0</v>
      </c>
      <c r="S28" s="1595"/>
      <c r="T28" s="1586"/>
      <c r="U28" s="1593">
        <f t="shared" ref="U28:U32" si="1">P28*0.85</f>
        <v>8953.8149999999987</v>
      </c>
      <c r="V28" s="1586"/>
      <c r="W28" s="1586"/>
      <c r="X28" s="1587">
        <v>0</v>
      </c>
      <c r="Y28" s="1588"/>
      <c r="Z28" s="1589"/>
      <c r="AA28" s="1589"/>
    </row>
    <row r="29" spans="1:27" s="1030" customFormat="1" ht="15.75" customHeight="1">
      <c r="A29" s="1698" t="s">
        <v>1240</v>
      </c>
      <c r="B29" s="1595"/>
      <c r="C29" s="1586"/>
      <c r="D29" s="1586"/>
      <c r="E29" s="1586"/>
      <c r="F29" s="1586"/>
      <c r="G29" s="1586"/>
      <c r="H29" s="1586"/>
      <c r="I29" s="1586"/>
      <c r="J29" s="1586"/>
      <c r="K29" s="1586"/>
      <c r="L29" s="1586"/>
      <c r="M29" s="1586"/>
      <c r="N29" s="1586"/>
      <c r="O29" s="1596"/>
      <c r="P29" s="1595">
        <v>8600</v>
      </c>
      <c r="Q29" s="1586">
        <f t="shared" si="0"/>
        <v>1290</v>
      </c>
      <c r="R29" s="1593">
        <v>0</v>
      </c>
      <c r="S29" s="1586"/>
      <c r="T29" s="1586"/>
      <c r="U29" s="1593">
        <f t="shared" si="1"/>
        <v>7310</v>
      </c>
      <c r="V29" s="1586"/>
      <c r="W29" s="1586"/>
      <c r="X29" s="1587">
        <v>0</v>
      </c>
      <c r="Y29" s="1588"/>
      <c r="Z29" s="1589"/>
      <c r="AA29" s="1589"/>
    </row>
    <row r="30" spans="1:27" s="1030" customFormat="1" ht="15.75" customHeight="1">
      <c r="A30" s="1698" t="s">
        <v>1241</v>
      </c>
      <c r="B30" s="1595"/>
      <c r="C30" s="1586"/>
      <c r="D30" s="1586"/>
      <c r="E30" s="1586"/>
      <c r="F30" s="1586"/>
      <c r="G30" s="1586"/>
      <c r="H30" s="1586"/>
      <c r="I30" s="1586"/>
      <c r="J30" s="1586"/>
      <c r="K30" s="1586"/>
      <c r="L30" s="1586"/>
      <c r="M30" s="1586"/>
      <c r="N30" s="1586"/>
      <c r="O30" s="1596"/>
      <c r="P30" s="1595">
        <v>8755</v>
      </c>
      <c r="Q30" s="1586">
        <f t="shared" si="0"/>
        <v>1313.25</v>
      </c>
      <c r="R30" s="1593">
        <v>0</v>
      </c>
      <c r="S30" s="1586"/>
      <c r="T30" s="1586"/>
      <c r="U30" s="1593">
        <f t="shared" si="1"/>
        <v>7441.75</v>
      </c>
      <c r="V30" s="1586"/>
      <c r="W30" s="1586"/>
      <c r="X30" s="1587">
        <v>0</v>
      </c>
      <c r="Y30" s="1588"/>
      <c r="Z30" s="1589"/>
      <c r="AA30" s="1589"/>
    </row>
    <row r="31" spans="1:27" s="1030" customFormat="1" ht="15.75" customHeight="1">
      <c r="A31" s="1698" t="s">
        <v>1064</v>
      </c>
      <c r="B31" s="1595"/>
      <c r="C31" s="1586"/>
      <c r="D31" s="1586"/>
      <c r="E31" s="1586"/>
      <c r="F31" s="1586"/>
      <c r="G31" s="1586"/>
      <c r="H31" s="1586"/>
      <c r="I31" s="1586"/>
      <c r="J31" s="1586"/>
      <c r="K31" s="1586"/>
      <c r="L31" s="1586"/>
      <c r="M31" s="1586"/>
      <c r="N31" s="1586"/>
      <c r="O31" s="1596"/>
      <c r="P31" s="1595">
        <v>13515</v>
      </c>
      <c r="Q31" s="1586">
        <f t="shared" si="0"/>
        <v>2027.25</v>
      </c>
      <c r="R31" s="1593">
        <v>0</v>
      </c>
      <c r="S31" s="1586"/>
      <c r="T31" s="1586"/>
      <c r="U31" s="1593">
        <f t="shared" si="1"/>
        <v>11487.75</v>
      </c>
      <c r="V31" s="1586"/>
      <c r="W31" s="1586"/>
      <c r="X31" s="1587">
        <v>0</v>
      </c>
      <c r="Y31" s="1588"/>
      <c r="Z31" s="1589"/>
      <c r="AA31" s="1589"/>
    </row>
    <row r="32" spans="1:27" s="1030" customFormat="1" ht="15.75" customHeight="1">
      <c r="A32" s="1698" t="s">
        <v>1242</v>
      </c>
      <c r="B32" s="1595"/>
      <c r="C32" s="1586"/>
      <c r="D32" s="1586"/>
      <c r="E32" s="1586"/>
      <c r="F32" s="1586"/>
      <c r="G32" s="1586"/>
      <c r="H32" s="1586"/>
      <c r="I32" s="1586"/>
      <c r="J32" s="1586"/>
      <c r="K32" s="1586"/>
      <c r="L32" s="1586"/>
      <c r="M32" s="1586"/>
      <c r="N32" s="1586"/>
      <c r="O32" s="1596"/>
      <c r="P32" s="1595">
        <v>2720</v>
      </c>
      <c r="Q32" s="1586">
        <f t="shared" si="0"/>
        <v>408</v>
      </c>
      <c r="R32" s="1593">
        <v>0</v>
      </c>
      <c r="S32" s="1586"/>
      <c r="T32" s="1586"/>
      <c r="U32" s="1593">
        <f t="shared" si="1"/>
        <v>2312</v>
      </c>
      <c r="V32" s="1586"/>
      <c r="W32" s="1586"/>
      <c r="X32" s="1587">
        <v>0</v>
      </c>
      <c r="Y32" s="1588"/>
      <c r="Z32" s="1589"/>
      <c r="AA32" s="1589"/>
    </row>
    <row r="33" spans="1:27" s="1030" customFormat="1" ht="15.75" customHeight="1">
      <c r="A33" s="1698" t="s">
        <v>1442</v>
      </c>
      <c r="B33" s="1595"/>
      <c r="C33" s="1586"/>
      <c r="D33" s="1586"/>
      <c r="E33" s="1586"/>
      <c r="F33" s="1586"/>
      <c r="G33" s="1586"/>
      <c r="H33" s="1586"/>
      <c r="I33" s="1586"/>
      <c r="J33" s="1586"/>
      <c r="K33" s="1586"/>
      <c r="L33" s="1586"/>
      <c r="M33" s="1586"/>
      <c r="N33" s="1586"/>
      <c r="O33" s="1596"/>
      <c r="P33" s="1595">
        <v>9585</v>
      </c>
      <c r="Q33" s="1586">
        <f t="shared" si="0"/>
        <v>4774</v>
      </c>
      <c r="R33" s="1593">
        <v>0</v>
      </c>
      <c r="S33" s="1586"/>
      <c r="T33" s="1586"/>
      <c r="U33" s="1593">
        <v>4811</v>
      </c>
      <c r="V33" s="1586"/>
      <c r="W33" s="1586"/>
      <c r="X33" s="1587">
        <v>0</v>
      </c>
      <c r="Y33" s="1588"/>
      <c r="Z33" s="1589"/>
      <c r="AA33" s="1589"/>
    </row>
    <row r="34" spans="1:27" s="1030" customFormat="1" ht="15.75" customHeight="1">
      <c r="A34" s="1698" t="s">
        <v>1158</v>
      </c>
      <c r="B34" s="1595"/>
      <c r="C34" s="1586"/>
      <c r="D34" s="1586"/>
      <c r="E34" s="1586"/>
      <c r="F34" s="1586"/>
      <c r="G34" s="1586"/>
      <c r="H34" s="1586"/>
      <c r="I34" s="1586"/>
      <c r="J34" s="1586"/>
      <c r="K34" s="1586"/>
      <c r="L34" s="1586"/>
      <c r="M34" s="1586"/>
      <c r="N34" s="1586"/>
      <c r="O34" s="1596"/>
      <c r="P34" s="1595">
        <v>5355</v>
      </c>
      <c r="Q34" s="1586">
        <f t="shared" si="0"/>
        <v>803.25</v>
      </c>
      <c r="R34" s="1593">
        <v>0</v>
      </c>
      <c r="S34" s="1586"/>
      <c r="T34" s="1586"/>
      <c r="U34" s="1593">
        <f>P34*0.85</f>
        <v>4551.75</v>
      </c>
      <c r="V34" s="1586"/>
      <c r="W34" s="1586"/>
      <c r="X34" s="1587">
        <v>0</v>
      </c>
      <c r="Y34" s="1588"/>
      <c r="Z34" s="1589"/>
      <c r="AA34" s="1589"/>
    </row>
    <row r="35" spans="1:27" s="1030" customFormat="1" ht="15.75" customHeight="1">
      <c r="A35" s="1600" t="s">
        <v>1211</v>
      </c>
      <c r="B35" s="1601"/>
      <c r="C35" s="1601"/>
      <c r="D35" s="1602"/>
      <c r="E35" s="1601"/>
      <c r="F35" s="1601"/>
      <c r="G35" s="1602"/>
      <c r="H35" s="1601"/>
      <c r="I35" s="1601"/>
      <c r="J35" s="1602"/>
      <c r="K35" s="1601"/>
      <c r="L35" s="1601"/>
      <c r="M35" s="1602"/>
      <c r="N35" s="1601"/>
      <c r="O35" s="1601"/>
      <c r="P35" s="1602">
        <v>32000</v>
      </c>
      <c r="Q35" s="1601">
        <f>P35-R35</f>
        <v>4800</v>
      </c>
      <c r="R35" s="1695">
        <f>P35*0.85</f>
        <v>27200</v>
      </c>
      <c r="S35" s="1602"/>
      <c r="T35" s="1601"/>
      <c r="U35" s="1593">
        <v>0</v>
      </c>
      <c r="V35" s="1602"/>
      <c r="W35" s="1601"/>
      <c r="X35" s="1587">
        <v>0</v>
      </c>
      <c r="Y35" s="1588"/>
      <c r="Z35" s="1589"/>
      <c r="AA35" s="1589"/>
    </row>
    <row r="36" spans="1:27" s="1030" customFormat="1" ht="15.75" customHeight="1">
      <c r="A36" s="1600" t="s">
        <v>1451</v>
      </c>
      <c r="B36" s="1699">
        <f>13400*1.21</f>
        <v>16214</v>
      </c>
      <c r="C36" s="1700"/>
      <c r="D36" s="1701"/>
      <c r="E36" s="1700"/>
      <c r="F36" s="1700"/>
      <c r="G36" s="1701"/>
      <c r="H36" s="1700"/>
      <c r="I36" s="1700"/>
      <c r="J36" s="1701"/>
      <c r="K36" s="1700"/>
      <c r="L36" s="1700"/>
      <c r="M36" s="1701"/>
      <c r="N36" s="1700"/>
      <c r="O36" s="1700"/>
      <c r="P36" s="1701">
        <v>1000</v>
      </c>
      <c r="Q36" s="1700">
        <f>P36*0.15</f>
        <v>150</v>
      </c>
      <c r="R36" s="1593">
        <v>0</v>
      </c>
      <c r="S36" s="1701">
        <f>B36-P36</f>
        <v>15214</v>
      </c>
      <c r="T36" s="1702">
        <f>S36*0.15</f>
        <v>2282.1</v>
      </c>
      <c r="U36" s="1593">
        <v>0</v>
      </c>
      <c r="V36" s="1701"/>
      <c r="W36" s="1700"/>
      <c r="X36" s="1593">
        <f>B36*0.85</f>
        <v>13781.9</v>
      </c>
      <c r="Y36" s="1588"/>
      <c r="Z36" s="1589"/>
      <c r="AA36" s="1589"/>
    </row>
    <row r="37" spans="1:27" s="1030" customFormat="1" ht="15.75" customHeight="1">
      <c r="A37" s="1600" t="s">
        <v>1452</v>
      </c>
      <c r="B37" s="1699">
        <f>17400*1.21</f>
        <v>21054</v>
      </c>
      <c r="C37" s="1700"/>
      <c r="D37" s="1701"/>
      <c r="E37" s="1700"/>
      <c r="F37" s="1700"/>
      <c r="G37" s="1701"/>
      <c r="H37" s="1700"/>
      <c r="I37" s="1700"/>
      <c r="J37" s="1701"/>
      <c r="K37" s="1700"/>
      <c r="L37" s="1700"/>
      <c r="M37" s="1701"/>
      <c r="N37" s="1700"/>
      <c r="O37" s="1700"/>
      <c r="P37" s="1701">
        <v>1000</v>
      </c>
      <c r="Q37" s="1700">
        <f>P37*0.15</f>
        <v>150</v>
      </c>
      <c r="R37" s="1593">
        <v>0</v>
      </c>
      <c r="S37" s="1701">
        <f>B37-P37</f>
        <v>20054</v>
      </c>
      <c r="T37" s="1699">
        <f>S37*0.15</f>
        <v>3008.1</v>
      </c>
      <c r="U37" s="1593">
        <v>0</v>
      </c>
      <c r="V37" s="1701"/>
      <c r="W37" s="1700"/>
      <c r="X37" s="1593">
        <f>B37*0.85</f>
        <v>17895.899999999998</v>
      </c>
      <c r="Y37" s="1588"/>
      <c r="Z37" s="1589"/>
      <c r="AA37" s="1589"/>
    </row>
    <row r="38" spans="1:27" s="1034" customFormat="1" ht="15.75" thickBot="1">
      <c r="A38" s="1603" t="s">
        <v>1243</v>
      </c>
      <c r="B38" s="1604">
        <f>SUM(B6:B9,B12,B13,B14,B23,B24,B25,B26:B37)</f>
        <v>288511.33400000003</v>
      </c>
      <c r="C38" s="1604">
        <f t="shared" ref="C38:O38" si="2">SUM(C6:C9,C14,C23,C24,C25)</f>
        <v>2764</v>
      </c>
      <c r="D38" s="1604">
        <f t="shared" si="2"/>
        <v>358</v>
      </c>
      <c r="E38" s="1604">
        <f t="shared" si="2"/>
        <v>358</v>
      </c>
      <c r="F38" s="1604">
        <f t="shared" si="2"/>
        <v>0</v>
      </c>
      <c r="G38" s="1604">
        <f t="shared" si="2"/>
        <v>100000</v>
      </c>
      <c r="H38" s="1604">
        <f t="shared" si="2"/>
        <v>15000</v>
      </c>
      <c r="I38" s="1604">
        <f t="shared" si="2"/>
        <v>0</v>
      </c>
      <c r="J38" s="1604">
        <f t="shared" si="2"/>
        <v>243832</v>
      </c>
      <c r="K38" s="1604">
        <f t="shared" si="2"/>
        <v>391.72400000000198</v>
      </c>
      <c r="L38" s="1604">
        <f t="shared" si="2"/>
        <v>0</v>
      </c>
      <c r="M38" s="1604">
        <f>SUM(M6:M9,M14,M23,M24,M25)</f>
        <v>40624</v>
      </c>
      <c r="N38" s="1604">
        <f t="shared" si="2"/>
        <v>7786.5200000000168</v>
      </c>
      <c r="O38" s="1604">
        <f t="shared" si="2"/>
        <v>272258.27600000001</v>
      </c>
      <c r="P38" s="1605">
        <f t="shared" ref="P38:U38" si="3">SUM(P6:P9,P14,P23,P24,P25,P26:P37)</f>
        <v>180201.234</v>
      </c>
      <c r="Q38" s="1604">
        <f t="shared" si="3"/>
        <v>48933.567999999999</v>
      </c>
      <c r="R38" s="1606">
        <f t="shared" si="3"/>
        <v>56525.400999999998</v>
      </c>
      <c r="S38" s="1605">
        <f t="shared" si="3"/>
        <v>183668</v>
      </c>
      <c r="T38" s="1604">
        <f t="shared" si="3"/>
        <v>83048.44</v>
      </c>
      <c r="U38" s="1606">
        <f t="shared" si="3"/>
        <v>113706.94500000001</v>
      </c>
      <c r="V38" s="1605">
        <f>SUM(V6:V9,V14,V23,V24,V25,V26:V34)</f>
        <v>0</v>
      </c>
      <c r="W38" s="1604">
        <f>SUM(W6:W9,W14,W23,W24,W25,W26:W34)</f>
        <v>0</v>
      </c>
      <c r="X38" s="1607">
        <f>SUM(X6:X9,X14,X23,X24,X25:X37,X26:X35)</f>
        <v>66993.36</v>
      </c>
      <c r="Y38" s="1598"/>
      <c r="Z38" s="1582"/>
      <c r="AA38" s="1582"/>
    </row>
    <row r="39" spans="1:27" s="1023" customFormat="1" ht="7.5" customHeight="1" thickBot="1">
      <c r="A39" s="1608"/>
      <c r="B39" s="1576"/>
      <c r="C39" s="1609"/>
      <c r="D39" s="1609"/>
      <c r="E39" s="1576"/>
      <c r="F39" s="1576"/>
      <c r="G39" s="1576"/>
      <c r="H39" s="1610"/>
      <c r="I39" s="1576"/>
      <c r="J39" s="1576"/>
      <c r="K39" s="1610"/>
      <c r="L39" s="1576"/>
      <c r="M39" s="1576"/>
      <c r="N39" s="1610"/>
      <c r="O39" s="1576"/>
      <c r="P39" s="1610"/>
      <c r="Q39" s="1610"/>
      <c r="R39" s="1610"/>
      <c r="S39" s="1611"/>
      <c r="T39" s="1610"/>
      <c r="U39" s="1610"/>
      <c r="V39" s="1610"/>
      <c r="W39" s="1610"/>
      <c r="X39" s="1610"/>
      <c r="Y39" s="1610"/>
      <c r="Z39" s="1612"/>
      <c r="AA39" s="1612"/>
    </row>
    <row r="40" spans="1:27" s="1025" customFormat="1">
      <c r="A40" s="1613" t="s">
        <v>1244</v>
      </c>
      <c r="B40" s="1614" t="s">
        <v>143</v>
      </c>
      <c r="C40" s="1614"/>
      <c r="D40" s="1615"/>
      <c r="E40" s="1614"/>
      <c r="F40" s="1614"/>
      <c r="G40" s="1615"/>
      <c r="H40" s="1614"/>
      <c r="I40" s="1614"/>
      <c r="J40" s="1615"/>
      <c r="K40" s="1614"/>
      <c r="L40" s="1614"/>
      <c r="M40" s="1615" t="s">
        <v>143</v>
      </c>
      <c r="N40" s="1614" t="s">
        <v>143</v>
      </c>
      <c r="O40" s="1616" t="s">
        <v>143</v>
      </c>
      <c r="P40" s="1615">
        <f>SUM(P41:P45)</f>
        <v>2000</v>
      </c>
      <c r="Q40" s="1615">
        <f t="shared" ref="Q40:X40" si="4">SUM(Q41:Q45)</f>
        <v>0</v>
      </c>
      <c r="R40" s="1615">
        <f t="shared" si="4"/>
        <v>0</v>
      </c>
      <c r="S40" s="1615">
        <f t="shared" si="4"/>
        <v>20000</v>
      </c>
      <c r="T40" s="1615">
        <f t="shared" si="4"/>
        <v>0</v>
      </c>
      <c r="U40" s="1615">
        <f t="shared" si="4"/>
        <v>0</v>
      </c>
      <c r="V40" s="1615">
        <f t="shared" si="4"/>
        <v>129353</v>
      </c>
      <c r="W40" s="1615">
        <f>SUM(W41:W45)</f>
        <v>89353</v>
      </c>
      <c r="X40" s="1617">
        <f t="shared" si="4"/>
        <v>0</v>
      </c>
      <c r="Y40" s="1598"/>
      <c r="Z40" s="1582"/>
      <c r="AA40" s="1582"/>
    </row>
    <row r="41" spans="1:27" s="1030" customFormat="1">
      <c r="A41" s="1599" t="s">
        <v>289</v>
      </c>
      <c r="B41" s="1618">
        <v>19250</v>
      </c>
      <c r="C41" s="1618"/>
      <c r="D41" s="1618"/>
      <c r="E41" s="1618"/>
      <c r="F41" s="1618"/>
      <c r="G41" s="1618"/>
      <c r="H41" s="1618"/>
      <c r="I41" s="1618"/>
      <c r="J41" s="1618"/>
      <c r="K41" s="1618"/>
      <c r="L41" s="1618"/>
      <c r="M41" s="1618">
        <v>1500</v>
      </c>
      <c r="N41" s="1618">
        <v>1500</v>
      </c>
      <c r="O41" s="1618">
        <v>0</v>
      </c>
      <c r="P41" s="1618">
        <v>1000</v>
      </c>
      <c r="Q41" s="1618">
        <v>0</v>
      </c>
      <c r="R41" s="1619">
        <v>0</v>
      </c>
      <c r="S41" s="1620">
        <v>0</v>
      </c>
      <c r="T41" s="1618">
        <v>0</v>
      </c>
      <c r="U41" s="1619">
        <v>0</v>
      </c>
      <c r="V41" s="1620">
        <v>0</v>
      </c>
      <c r="W41" s="1618">
        <v>0</v>
      </c>
      <c r="X41" s="1621">
        <v>0</v>
      </c>
      <c r="Y41" s="1588"/>
      <c r="Z41" s="1589"/>
      <c r="AA41" s="1589"/>
    </row>
    <row r="42" spans="1:27" s="1030" customFormat="1">
      <c r="A42" s="1597" t="s">
        <v>291</v>
      </c>
      <c r="B42" s="1618">
        <v>11950</v>
      </c>
      <c r="C42" s="1618"/>
      <c r="D42" s="1618"/>
      <c r="E42" s="1618"/>
      <c r="F42" s="1618"/>
      <c r="G42" s="1618"/>
      <c r="H42" s="1618"/>
      <c r="I42" s="1618"/>
      <c r="J42" s="1618"/>
      <c r="K42" s="1618"/>
      <c r="L42" s="1618"/>
      <c r="M42" s="1618"/>
      <c r="N42" s="1618"/>
      <c r="O42" s="1618"/>
      <c r="P42" s="1618">
        <v>1000</v>
      </c>
      <c r="Q42" s="1618">
        <v>0</v>
      </c>
      <c r="R42" s="1619">
        <v>0</v>
      </c>
      <c r="S42" s="1620">
        <v>0</v>
      </c>
      <c r="T42" s="1618">
        <v>0</v>
      </c>
      <c r="U42" s="1619">
        <v>0</v>
      </c>
      <c r="V42" s="1620">
        <v>0</v>
      </c>
      <c r="W42" s="1618">
        <v>0</v>
      </c>
      <c r="X42" s="1621">
        <v>0</v>
      </c>
      <c r="Y42" s="1588"/>
      <c r="Z42" s="1589"/>
      <c r="AA42" s="1589"/>
    </row>
    <row r="43" spans="1:27" s="1030" customFormat="1" ht="45" customHeight="1">
      <c r="A43" s="1597" t="s">
        <v>1245</v>
      </c>
      <c r="B43" s="1595">
        <f>G43+J43+M43+P43+S43+V43</f>
        <v>100000</v>
      </c>
      <c r="C43" s="1586">
        <v>0</v>
      </c>
      <c r="D43" s="1586">
        <v>0</v>
      </c>
      <c r="E43" s="1586">
        <v>0</v>
      </c>
      <c r="F43" s="1586">
        <v>0</v>
      </c>
      <c r="G43" s="1586">
        <v>10647</v>
      </c>
      <c r="H43" s="1586">
        <v>10647</v>
      </c>
      <c r="I43" s="1586">
        <v>0</v>
      </c>
      <c r="J43" s="1586">
        <v>0</v>
      </c>
      <c r="K43" s="1586">
        <v>0</v>
      </c>
      <c r="L43" s="1586">
        <v>0</v>
      </c>
      <c r="M43" s="1586">
        <v>0</v>
      </c>
      <c r="N43" s="1586">
        <v>0</v>
      </c>
      <c r="O43" s="1586">
        <v>0</v>
      </c>
      <c r="P43" s="1595">
        <v>0</v>
      </c>
      <c r="Q43" s="1586">
        <v>0</v>
      </c>
      <c r="R43" s="1595">
        <v>0</v>
      </c>
      <c r="S43" s="1595">
        <v>0</v>
      </c>
      <c r="T43" s="1622">
        <v>0</v>
      </c>
      <c r="U43" s="1595">
        <v>0</v>
      </c>
      <c r="V43" s="1595">
        <f>W43</f>
        <v>89353</v>
      </c>
      <c r="W43" s="1622">
        <v>89353</v>
      </c>
      <c r="X43" s="1623">
        <v>0</v>
      </c>
      <c r="Y43" s="1588"/>
      <c r="Z43" s="1589"/>
      <c r="AA43" s="1589"/>
    </row>
    <row r="44" spans="1:27" s="1030" customFormat="1">
      <c r="A44" s="1600"/>
      <c r="B44" s="1601"/>
      <c r="C44" s="1601"/>
      <c r="D44" s="1601"/>
      <c r="E44" s="1601"/>
      <c r="F44" s="1601"/>
      <c r="G44" s="1601"/>
      <c r="H44" s="1601"/>
      <c r="I44" s="1601"/>
      <c r="J44" s="1601"/>
      <c r="K44" s="1601"/>
      <c r="L44" s="1601"/>
      <c r="M44" s="1601"/>
      <c r="N44" s="1601"/>
      <c r="O44" s="1601"/>
      <c r="P44" s="1601"/>
      <c r="Q44" s="1601"/>
      <c r="R44" s="1624"/>
      <c r="S44" s="1602"/>
      <c r="T44" s="1601"/>
      <c r="U44" s="1624"/>
      <c r="V44" s="1602"/>
      <c r="W44" s="1601"/>
      <c r="X44" s="1625"/>
      <c r="Y44" s="1588"/>
      <c r="Z44" s="1589"/>
      <c r="AA44" s="1589"/>
    </row>
    <row r="45" spans="1:27" s="1035" customFormat="1" ht="15.75" customHeight="1" thickBot="1">
      <c r="A45" s="1626" t="s">
        <v>1246</v>
      </c>
      <c r="B45" s="1627">
        <v>0</v>
      </c>
      <c r="C45" s="1627"/>
      <c r="D45" s="1627"/>
      <c r="E45" s="1627"/>
      <c r="F45" s="1627"/>
      <c r="G45" s="1627"/>
      <c r="H45" s="1627"/>
      <c r="I45" s="1627"/>
      <c r="J45" s="1627"/>
      <c r="K45" s="1627"/>
      <c r="L45" s="1627"/>
      <c r="M45" s="1627">
        <v>500</v>
      </c>
      <c r="N45" s="1627">
        <v>500</v>
      </c>
      <c r="O45" s="1627">
        <v>0</v>
      </c>
      <c r="P45" s="1627">
        <v>0</v>
      </c>
      <c r="Q45" s="1627">
        <v>0</v>
      </c>
      <c r="R45" s="1604">
        <v>0</v>
      </c>
      <c r="S45" s="1628">
        <v>20000</v>
      </c>
      <c r="T45" s="1627">
        <v>0</v>
      </c>
      <c r="U45" s="1604">
        <v>0</v>
      </c>
      <c r="V45" s="1628">
        <v>40000</v>
      </c>
      <c r="W45" s="1627">
        <v>0</v>
      </c>
      <c r="X45" s="1629">
        <v>0</v>
      </c>
      <c r="Y45" s="1630"/>
      <c r="Z45" s="1631"/>
      <c r="AA45" s="1631"/>
    </row>
    <row r="46" spans="1:27" ht="6.75" customHeight="1" thickBot="1">
      <c r="A46" s="1632"/>
      <c r="B46" s="1577"/>
      <c r="C46" s="1633"/>
      <c r="D46" s="1633"/>
      <c r="E46" s="1577"/>
      <c r="F46" s="1577"/>
      <c r="G46" s="1577"/>
      <c r="H46" s="1634"/>
      <c r="I46" s="1577"/>
      <c r="J46" s="1577"/>
      <c r="K46" s="1634"/>
      <c r="L46" s="1577"/>
      <c r="M46" s="1577"/>
      <c r="N46" s="1634"/>
      <c r="O46" s="1577"/>
      <c r="P46" s="1634"/>
      <c r="Q46" s="1634"/>
      <c r="R46" s="1634"/>
      <c r="S46" s="1634"/>
      <c r="T46" s="1634"/>
      <c r="U46" s="1634"/>
      <c r="V46" s="1634"/>
      <c r="W46" s="1634"/>
      <c r="X46" s="1634"/>
      <c r="Y46" s="1634"/>
    </row>
    <row r="47" spans="1:27" s="1036" customFormat="1" ht="15.75" customHeight="1" thickBot="1">
      <c r="A47" s="1635" t="s">
        <v>32</v>
      </c>
      <c r="B47" s="1636">
        <f>SUM(B38:B46)</f>
        <v>419711.33400000003</v>
      </c>
      <c r="C47" s="1636">
        <f t="shared" ref="C47:L47" si="5">SUM(C38:C46)</f>
        <v>2764</v>
      </c>
      <c r="D47" s="1636">
        <f t="shared" si="5"/>
        <v>358</v>
      </c>
      <c r="E47" s="1636">
        <f t="shared" si="5"/>
        <v>358</v>
      </c>
      <c r="F47" s="1636">
        <f t="shared" si="5"/>
        <v>0</v>
      </c>
      <c r="G47" s="1636">
        <f t="shared" si="5"/>
        <v>110647</v>
      </c>
      <c r="H47" s="1636">
        <f t="shared" si="5"/>
        <v>25647</v>
      </c>
      <c r="I47" s="1636">
        <f t="shared" si="5"/>
        <v>0</v>
      </c>
      <c r="J47" s="1636">
        <f t="shared" si="5"/>
        <v>243832</v>
      </c>
      <c r="K47" s="1636">
        <f t="shared" si="5"/>
        <v>391.72400000000198</v>
      </c>
      <c r="L47" s="1636">
        <f t="shared" si="5"/>
        <v>0</v>
      </c>
      <c r="M47" s="1636">
        <f>SUM(M38:M46)</f>
        <v>42624</v>
      </c>
      <c r="N47" s="1636">
        <f>SUM(N38:N46)</f>
        <v>9786.5200000000168</v>
      </c>
      <c r="O47" s="1636">
        <f>SUM(O38:O46)</f>
        <v>272258.27600000001</v>
      </c>
      <c r="P47" s="1637">
        <f>SUM(P38+P40)</f>
        <v>182201.234</v>
      </c>
      <c r="Q47" s="1636">
        <f t="shared" ref="Q47:X47" si="6">SUM(Q38+Q40)</f>
        <v>48933.567999999999</v>
      </c>
      <c r="R47" s="1638">
        <f t="shared" si="6"/>
        <v>56525.400999999998</v>
      </c>
      <c r="S47" s="1637">
        <f t="shared" si="6"/>
        <v>203668</v>
      </c>
      <c r="T47" s="1636">
        <f t="shared" si="6"/>
        <v>83048.44</v>
      </c>
      <c r="U47" s="1638">
        <f>SUM(U38+U40)</f>
        <v>113706.94500000001</v>
      </c>
      <c r="V47" s="1637">
        <f t="shared" si="6"/>
        <v>129353</v>
      </c>
      <c r="W47" s="1636">
        <f>SUM(W38+W40)</f>
        <v>89353</v>
      </c>
      <c r="X47" s="1639">
        <f t="shared" si="6"/>
        <v>66993.36</v>
      </c>
      <c r="Y47" s="1640"/>
      <c r="Z47" s="1641"/>
      <c r="AA47" s="1641"/>
    </row>
    <row r="48" spans="1:27" ht="15.75" customHeight="1">
      <c r="B48" s="1576"/>
      <c r="C48" s="1609"/>
      <c r="D48" s="1576"/>
      <c r="E48" s="1576"/>
      <c r="F48" s="1610"/>
      <c r="G48" s="1610"/>
      <c r="H48" s="1610"/>
      <c r="I48" s="1610"/>
      <c r="J48" s="1610"/>
      <c r="K48" s="1610"/>
      <c r="L48" s="1610"/>
      <c r="M48" s="1578"/>
      <c r="N48" s="1576"/>
      <c r="O48" s="1578"/>
      <c r="P48" s="1579"/>
      <c r="Q48" s="1579"/>
      <c r="R48" s="1578"/>
      <c r="S48" s="1579"/>
      <c r="T48" s="1577"/>
      <c r="U48" s="1578"/>
      <c r="V48" s="1634"/>
      <c r="W48" s="1634"/>
      <c r="X48" s="1634"/>
      <c r="Y48" s="1634"/>
    </row>
    <row r="49" spans="1:27" ht="15.75" thickBot="1">
      <c r="A49" s="1643" t="s">
        <v>1247</v>
      </c>
      <c r="B49" s="1576"/>
      <c r="C49" s="1609"/>
      <c r="D49" s="1576"/>
      <c r="E49" s="1576"/>
      <c r="F49" s="1610"/>
      <c r="G49" s="1610"/>
      <c r="H49" s="1610"/>
      <c r="I49" s="1610"/>
      <c r="J49" s="1610"/>
      <c r="K49" s="1610"/>
      <c r="L49" s="1610"/>
      <c r="M49" s="1610"/>
      <c r="N49" s="1610"/>
      <c r="O49" s="1610"/>
      <c r="P49" s="1634"/>
      <c r="Q49" s="1634"/>
      <c r="R49" s="1634"/>
      <c r="S49" s="1634"/>
      <c r="T49" s="1634"/>
      <c r="U49" s="1634"/>
      <c r="V49" s="1634"/>
      <c r="W49" s="1634"/>
      <c r="X49" s="1634"/>
      <c r="Y49" s="1634"/>
    </row>
    <row r="50" spans="1:27" ht="15.75" thickBot="1">
      <c r="A50" s="1644" t="s">
        <v>1248</v>
      </c>
      <c r="B50" s="1645">
        <f>SUM(C50,D50,G50,J50,M50)</f>
        <v>0</v>
      </c>
      <c r="C50" s="1646">
        <v>0</v>
      </c>
      <c r="D50" s="1647"/>
      <c r="E50" s="1648"/>
      <c r="F50" s="1648">
        <v>0</v>
      </c>
      <c r="G50" s="1647">
        <v>0</v>
      </c>
      <c r="H50" s="1648">
        <v>0</v>
      </c>
      <c r="I50" s="1649"/>
      <c r="J50" s="1647">
        <v>0</v>
      </c>
      <c r="K50" s="1648">
        <v>0</v>
      </c>
      <c r="L50" s="1650">
        <v>0</v>
      </c>
      <c r="M50" s="1651">
        <v>0</v>
      </c>
      <c r="N50" s="1648">
        <v>0</v>
      </c>
      <c r="O50" s="1645">
        <v>0</v>
      </c>
      <c r="P50" s="1652">
        <v>1420</v>
      </c>
      <c r="Q50" s="1653">
        <f>P50*0.15</f>
        <v>213</v>
      </c>
      <c r="R50" s="1654">
        <f>P50-Q50</f>
        <v>1207</v>
      </c>
      <c r="S50" s="1655">
        <v>200</v>
      </c>
      <c r="T50" s="1653">
        <f>S50*0.15</f>
        <v>30</v>
      </c>
      <c r="U50" s="1654">
        <f>S50-T50</f>
        <v>170</v>
      </c>
      <c r="V50" s="1656">
        <v>0</v>
      </c>
      <c r="W50" s="1648">
        <v>0</v>
      </c>
      <c r="X50" s="1645">
        <v>0</v>
      </c>
      <c r="Y50" s="1634"/>
    </row>
    <row r="51" spans="1:27" ht="6.75" customHeight="1" thickBot="1">
      <c r="A51" s="1632"/>
      <c r="B51" s="1577"/>
      <c r="C51" s="1633"/>
      <c r="D51" s="1633"/>
      <c r="E51" s="1577"/>
      <c r="F51" s="1577"/>
      <c r="G51" s="1577"/>
      <c r="H51" s="1634"/>
      <c r="I51" s="1577"/>
      <c r="J51" s="1577"/>
      <c r="K51" s="1634"/>
      <c r="L51" s="1577"/>
      <c r="M51" s="1577"/>
      <c r="N51" s="1634"/>
      <c r="O51" s="1577"/>
      <c r="P51" s="1634"/>
      <c r="Q51" s="1634"/>
      <c r="R51" s="1634"/>
      <c r="S51" s="1634"/>
      <c r="T51" s="1634"/>
      <c r="U51" s="1634"/>
      <c r="V51" s="1634"/>
      <c r="W51" s="1634"/>
      <c r="X51" s="1634"/>
      <c r="Y51" s="1634"/>
    </row>
    <row r="52" spans="1:27" s="1036" customFormat="1" ht="15.75" customHeight="1" thickBot="1">
      <c r="A52" s="1657" t="s">
        <v>30</v>
      </c>
      <c r="B52" s="1658">
        <f t="shared" ref="B52:X52" si="7">SUM(B50:B51)</f>
        <v>0</v>
      </c>
      <c r="C52" s="1658">
        <f t="shared" si="7"/>
        <v>0</v>
      </c>
      <c r="D52" s="1658">
        <f t="shared" si="7"/>
        <v>0</v>
      </c>
      <c r="E52" s="1658">
        <f t="shared" si="7"/>
        <v>0</v>
      </c>
      <c r="F52" s="1658">
        <f t="shared" si="7"/>
        <v>0</v>
      </c>
      <c r="G52" s="1658">
        <f t="shared" si="7"/>
        <v>0</v>
      </c>
      <c r="H52" s="1658">
        <f t="shared" si="7"/>
        <v>0</v>
      </c>
      <c r="I52" s="1658">
        <f t="shared" si="7"/>
        <v>0</v>
      </c>
      <c r="J52" s="1658">
        <f t="shared" si="7"/>
        <v>0</v>
      </c>
      <c r="K52" s="1658">
        <f t="shared" si="7"/>
        <v>0</v>
      </c>
      <c r="L52" s="1659">
        <f t="shared" si="7"/>
        <v>0</v>
      </c>
      <c r="M52" s="1660">
        <f t="shared" si="7"/>
        <v>0</v>
      </c>
      <c r="N52" s="1661">
        <f t="shared" si="7"/>
        <v>0</v>
      </c>
      <c r="O52" s="1662">
        <f t="shared" si="7"/>
        <v>0</v>
      </c>
      <c r="P52" s="1660">
        <f t="shared" si="7"/>
        <v>1420</v>
      </c>
      <c r="Q52" s="1661">
        <f t="shared" si="7"/>
        <v>213</v>
      </c>
      <c r="R52" s="1663">
        <f t="shared" si="7"/>
        <v>1207</v>
      </c>
      <c r="S52" s="1660">
        <f t="shared" si="7"/>
        <v>200</v>
      </c>
      <c r="T52" s="1661">
        <f t="shared" si="7"/>
        <v>30</v>
      </c>
      <c r="U52" s="1663">
        <f t="shared" si="7"/>
        <v>170</v>
      </c>
      <c r="V52" s="1664">
        <f t="shared" si="7"/>
        <v>0</v>
      </c>
      <c r="W52" s="1661">
        <f t="shared" si="7"/>
        <v>0</v>
      </c>
      <c r="X52" s="1665">
        <f t="shared" si="7"/>
        <v>0</v>
      </c>
      <c r="Y52" s="1640"/>
      <c r="Z52" s="1641"/>
      <c r="AA52" s="1641"/>
    </row>
    <row r="53" spans="1:27" s="1037" customFormat="1" ht="15.75" thickBot="1">
      <c r="A53" s="1666"/>
      <c r="B53" s="1667"/>
      <c r="C53" s="1667"/>
      <c r="D53" s="1668"/>
      <c r="E53" s="1667"/>
      <c r="F53" s="1667"/>
      <c r="G53" s="1668"/>
      <c r="H53" s="1667"/>
      <c r="I53" s="1667"/>
      <c r="J53" s="1668"/>
      <c r="K53" s="1669"/>
      <c r="L53" s="1669"/>
      <c r="M53" s="1668"/>
      <c r="N53" s="1670"/>
      <c r="O53" s="1670"/>
      <c r="P53" s="1669"/>
      <c r="Q53" s="1670"/>
      <c r="R53" s="1670"/>
      <c r="S53" s="1669"/>
      <c r="T53" s="1670"/>
      <c r="U53" s="1670"/>
      <c r="V53" s="1669"/>
      <c r="W53" s="1670"/>
      <c r="X53" s="1670"/>
      <c r="Y53" s="1671"/>
      <c r="Z53" s="1672"/>
      <c r="AA53" s="1672"/>
    </row>
    <row r="54" spans="1:27" s="1036" customFormat="1" ht="18" customHeight="1" thickBot="1">
      <c r="A54" s="1673" t="s">
        <v>1249</v>
      </c>
      <c r="B54" s="1674">
        <f t="shared" ref="B54:X54" si="8">B47+B52</f>
        <v>419711.33400000003</v>
      </c>
      <c r="C54" s="1674">
        <f t="shared" si="8"/>
        <v>2764</v>
      </c>
      <c r="D54" s="1674">
        <f t="shared" si="8"/>
        <v>358</v>
      </c>
      <c r="E54" s="1674">
        <f t="shared" si="8"/>
        <v>358</v>
      </c>
      <c r="F54" s="1674">
        <f t="shared" si="8"/>
        <v>0</v>
      </c>
      <c r="G54" s="1674">
        <f t="shared" si="8"/>
        <v>110647</v>
      </c>
      <c r="H54" s="1674">
        <f t="shared" si="8"/>
        <v>25647</v>
      </c>
      <c r="I54" s="1674">
        <f t="shared" si="8"/>
        <v>0</v>
      </c>
      <c r="J54" s="1674">
        <f t="shared" si="8"/>
        <v>243832</v>
      </c>
      <c r="K54" s="1674">
        <f t="shared" si="8"/>
        <v>391.72400000000198</v>
      </c>
      <c r="L54" s="1674">
        <f t="shared" si="8"/>
        <v>0</v>
      </c>
      <c r="M54" s="1674">
        <f t="shared" si="8"/>
        <v>42624</v>
      </c>
      <c r="N54" s="1675">
        <f t="shared" si="8"/>
        <v>9786.5200000000168</v>
      </c>
      <c r="O54" s="1676">
        <f t="shared" si="8"/>
        <v>272258.27600000001</v>
      </c>
      <c r="P54" s="1674">
        <f t="shared" si="8"/>
        <v>183621.234</v>
      </c>
      <c r="Q54" s="1675">
        <f t="shared" si="8"/>
        <v>49146.567999999999</v>
      </c>
      <c r="R54" s="1676">
        <f t="shared" si="8"/>
        <v>57732.400999999998</v>
      </c>
      <c r="S54" s="1674">
        <f t="shared" si="8"/>
        <v>203868</v>
      </c>
      <c r="T54" s="1675">
        <f t="shared" si="8"/>
        <v>83078.44</v>
      </c>
      <c r="U54" s="1676">
        <f t="shared" si="8"/>
        <v>113876.94500000001</v>
      </c>
      <c r="V54" s="1674">
        <f t="shared" si="8"/>
        <v>129353</v>
      </c>
      <c r="W54" s="1675">
        <f t="shared" si="8"/>
        <v>89353</v>
      </c>
      <c r="X54" s="1663">
        <f t="shared" si="8"/>
        <v>66993.36</v>
      </c>
      <c r="Y54" s="1640"/>
      <c r="Z54" s="1641"/>
      <c r="AA54" s="1641"/>
    </row>
    <row r="55" spans="1:27" s="162" customFormat="1" ht="18" customHeight="1">
      <c r="A55" s="1677"/>
      <c r="B55" s="1677"/>
      <c r="C55" s="1677"/>
      <c r="D55" s="1677"/>
      <c r="E55" s="1677"/>
      <c r="F55" s="1677"/>
      <c r="G55" s="1677"/>
      <c r="H55" s="1677"/>
      <c r="I55" s="1677"/>
      <c r="J55" s="1677"/>
      <c r="K55" s="1677"/>
      <c r="L55" s="1677"/>
      <c r="M55" s="1677"/>
      <c r="N55" s="1677"/>
      <c r="O55" s="1677"/>
      <c r="P55" s="1677"/>
      <c r="Q55" s="1677"/>
      <c r="R55" s="1677"/>
      <c r="S55" s="1677"/>
      <c r="T55" s="1677"/>
      <c r="U55" s="1677"/>
      <c r="V55" s="1677"/>
      <c r="W55" s="1677"/>
      <c r="X55" s="1677"/>
      <c r="Y55" s="1677"/>
      <c r="Z55" s="1677"/>
      <c r="AA55" s="1677"/>
    </row>
    <row r="56" spans="1:27" s="1022" customFormat="1" ht="12.75" hidden="1" customHeight="1">
      <c r="A56" s="1666" t="s">
        <v>1250</v>
      </c>
      <c r="B56" s="1678" t="s">
        <v>1251</v>
      </c>
      <c r="C56" s="1679"/>
      <c r="D56" s="1642"/>
      <c r="E56" s="1580"/>
      <c r="F56" s="1642"/>
      <c r="G56" s="1642"/>
      <c r="H56" s="1642"/>
      <c r="I56" s="1612"/>
      <c r="J56" s="1642"/>
      <c r="K56" s="1642"/>
      <c r="L56" s="1612"/>
      <c r="M56" s="1642"/>
      <c r="N56" s="1642"/>
      <c r="O56" s="1612"/>
      <c r="P56" s="1581"/>
      <c r="Q56" s="1581"/>
      <c r="R56" s="1581"/>
      <c r="S56" s="1581"/>
      <c r="T56" s="1581"/>
      <c r="U56" s="1581"/>
      <c r="V56" s="1581"/>
      <c r="W56" s="1581"/>
      <c r="X56" s="1581"/>
      <c r="Y56" s="1679"/>
      <c r="Z56" s="1679"/>
      <c r="AA56" s="1679"/>
    </row>
    <row r="57" spans="1:27">
      <c r="B57" s="1608"/>
      <c r="C57" s="1608"/>
      <c r="D57" s="1608"/>
      <c r="E57" s="1608"/>
      <c r="F57" s="1608"/>
      <c r="G57" s="1608"/>
      <c r="H57" s="1608"/>
      <c r="I57" s="1608"/>
      <c r="J57" s="1608"/>
      <c r="K57" s="1608"/>
      <c r="L57" s="1608"/>
      <c r="M57" s="1608"/>
      <c r="N57" s="1608"/>
    </row>
    <row r="58" spans="1:27">
      <c r="A58" s="1608" t="s">
        <v>1252</v>
      </c>
      <c r="R58" s="1680"/>
      <c r="S58" s="1680"/>
      <c r="T58" s="1681" t="s">
        <v>1253</v>
      </c>
      <c r="U58" s="1682">
        <f>U34+U32+U31+U30+U29+U28+U26+R6+R7+U33+U36+U37</f>
        <v>78714.464999999997</v>
      </c>
    </row>
    <row r="61" spans="1:27">
      <c r="B61" s="1683"/>
    </row>
    <row r="62" spans="1:27">
      <c r="A62" s="1684"/>
      <c r="B62" s="1685"/>
    </row>
  </sheetData>
  <mergeCells count="18">
    <mergeCell ref="U26:U27"/>
    <mergeCell ref="V3:X3"/>
    <mergeCell ref="E4:F4"/>
    <mergeCell ref="H4:I4"/>
    <mergeCell ref="K4:L4"/>
    <mergeCell ref="N4:O4"/>
    <mergeCell ref="Q4:R4"/>
    <mergeCell ref="T4:U4"/>
    <mergeCell ref="W4:X4"/>
    <mergeCell ref="A1:O1"/>
    <mergeCell ref="A2:X2"/>
    <mergeCell ref="A3:A5"/>
    <mergeCell ref="D3:F3"/>
    <mergeCell ref="G3:I3"/>
    <mergeCell ref="J3:L3"/>
    <mergeCell ref="M3:O3"/>
    <mergeCell ref="P3:R3"/>
    <mergeCell ref="S3:U3"/>
  </mergeCells>
  <printOptions horizontalCentered="1"/>
  <pageMargins left="0.31496062992125984" right="0.27559055118110237" top="0.78740157480314965" bottom="0.78740157480314965" header="0.70866141732283472" footer="0.70866141732283472"/>
  <pageSetup paperSize="9" scale="68" firstPageNumber="120" orientation="landscape" useFirstPageNumber="1" r:id="rId1"/>
  <headerFooter alignWithMargins="0">
    <oddHeader>&amp;C&amp;"+,Tučné"IV. Rozpočtový výhled</oddHeader>
    <oddFooter>&amp;C &amp;P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46"/>
  <sheetViews>
    <sheetView zoomScale="90" zoomScaleNormal="90" zoomScalePageLayoutView="80" workbookViewId="0">
      <selection activeCell="I21" sqref="I1:I1048576"/>
    </sheetView>
  </sheetViews>
  <sheetFormatPr defaultColWidth="43" defaultRowHeight="15"/>
  <cols>
    <col min="1" max="3" width="5.7109375" style="162" customWidth="1"/>
    <col min="4" max="4" width="43" style="162" customWidth="1"/>
    <col min="5" max="5" width="9.85546875" style="162" customWidth="1"/>
    <col min="6" max="6" width="9.85546875" style="162" hidden="1" customWidth="1"/>
    <col min="7" max="8" width="9.85546875" style="162" customWidth="1"/>
    <col min="9" max="248" width="9.140625" style="162" customWidth="1"/>
    <col min="249" max="251" width="5.7109375" style="162" customWidth="1"/>
    <col min="252" max="16384" width="43" style="162"/>
  </cols>
  <sheetData>
    <row r="1" spans="1:8">
      <c r="A1" s="159"/>
      <c r="B1" s="159"/>
      <c r="C1" s="159"/>
      <c r="D1" s="160"/>
      <c r="E1" s="161"/>
      <c r="F1" s="161"/>
      <c r="G1" s="161"/>
      <c r="H1" s="161"/>
    </row>
    <row r="2" spans="1:8">
      <c r="A2" s="159"/>
      <c r="B2" s="159"/>
      <c r="C2" s="159"/>
      <c r="D2" s="160"/>
      <c r="E2" s="161"/>
      <c r="F2" s="161"/>
      <c r="G2" s="161"/>
      <c r="H2" s="161"/>
    </row>
    <row r="3" spans="1:8" ht="15.75" thickBot="1">
      <c r="A3" s="159"/>
      <c r="B3" s="159"/>
      <c r="C3" s="159"/>
      <c r="D3" s="160"/>
      <c r="E3" s="161"/>
      <c r="F3" s="161"/>
      <c r="G3" s="161"/>
      <c r="H3" s="161"/>
    </row>
    <row r="4" spans="1:8" ht="16.5" customHeight="1" thickTop="1">
      <c r="A4" s="41"/>
      <c r="B4" s="163"/>
      <c r="C4" s="164"/>
      <c r="D4" s="40"/>
      <c r="E4" s="1962" t="s">
        <v>44</v>
      </c>
      <c r="F4" s="1962" t="s">
        <v>43</v>
      </c>
      <c r="G4" s="1962" t="s">
        <v>1487</v>
      </c>
      <c r="H4" s="1971" t="s">
        <v>1488</v>
      </c>
    </row>
    <row r="5" spans="1:8">
      <c r="A5" s="36" t="s">
        <v>42</v>
      </c>
      <c r="B5" s="35" t="s">
        <v>41</v>
      </c>
      <c r="C5" s="34" t="s">
        <v>40</v>
      </c>
      <c r="D5" s="165"/>
      <c r="E5" s="1963"/>
      <c r="F5" s="1963"/>
      <c r="G5" s="1963"/>
      <c r="H5" s="1972"/>
    </row>
    <row r="6" spans="1:8" ht="15.75" thickBot="1">
      <c r="A6" s="31"/>
      <c r="B6" s="30"/>
      <c r="C6" s="29"/>
      <c r="D6" s="166" t="s">
        <v>38</v>
      </c>
      <c r="E6" s="1964"/>
      <c r="F6" s="1964"/>
      <c r="G6" s="1964"/>
      <c r="H6" s="1973"/>
    </row>
    <row r="7" spans="1:8" ht="16.5" thickTop="1" thickBot="1">
      <c r="A7" s="179" t="s">
        <v>174</v>
      </c>
      <c r="B7" s="180" t="s">
        <v>56</v>
      </c>
      <c r="C7" s="180" t="s">
        <v>173</v>
      </c>
      <c r="D7" s="181" t="s">
        <v>175</v>
      </c>
      <c r="E7" s="182">
        <v>180</v>
      </c>
      <c r="F7" s="182">
        <v>180</v>
      </c>
      <c r="G7" s="182">
        <v>280</v>
      </c>
      <c r="H7" s="1424">
        <v>280</v>
      </c>
    </row>
    <row r="8" spans="1:8" ht="15.75" hidden="1" thickBot="1">
      <c r="A8" s="179" t="s">
        <v>176</v>
      </c>
      <c r="B8" s="180" t="s">
        <v>177</v>
      </c>
      <c r="C8" s="180" t="s">
        <v>178</v>
      </c>
      <c r="D8" s="181" t="s">
        <v>179</v>
      </c>
      <c r="E8" s="182">
        <v>0</v>
      </c>
      <c r="F8" s="182">
        <v>10</v>
      </c>
      <c r="G8" s="182">
        <v>0</v>
      </c>
      <c r="H8" s="1424">
        <v>0</v>
      </c>
    </row>
    <row r="9" spans="1:8" ht="15.75" hidden="1" thickBot="1">
      <c r="A9" s="179" t="s">
        <v>180</v>
      </c>
      <c r="B9" s="180" t="s">
        <v>177</v>
      </c>
      <c r="C9" s="180" t="s">
        <v>181</v>
      </c>
      <c r="D9" s="181" t="s">
        <v>182</v>
      </c>
      <c r="E9" s="182">
        <v>0</v>
      </c>
      <c r="F9" s="182">
        <v>10</v>
      </c>
      <c r="G9" s="182">
        <v>0</v>
      </c>
      <c r="H9" s="1424">
        <v>0</v>
      </c>
    </row>
    <row r="10" spans="1:8" ht="15.75" hidden="1" thickBot="1">
      <c r="A10" s="179" t="s">
        <v>183</v>
      </c>
      <c r="B10" s="180" t="s">
        <v>177</v>
      </c>
      <c r="C10" s="180" t="s">
        <v>173</v>
      </c>
      <c r="D10" s="181" t="s">
        <v>184</v>
      </c>
      <c r="E10" s="182">
        <v>0</v>
      </c>
      <c r="F10" s="182">
        <v>10</v>
      </c>
      <c r="G10" s="182">
        <v>0</v>
      </c>
      <c r="H10" s="1424">
        <v>0</v>
      </c>
    </row>
    <row r="11" spans="1:8" ht="15.75" hidden="1" thickBot="1">
      <c r="A11" s="179" t="s">
        <v>185</v>
      </c>
      <c r="B11" s="180" t="s">
        <v>177</v>
      </c>
      <c r="C11" s="180" t="s">
        <v>173</v>
      </c>
      <c r="D11" s="181" t="s">
        <v>186</v>
      </c>
      <c r="E11" s="182">
        <v>0</v>
      </c>
      <c r="F11" s="182">
        <v>10</v>
      </c>
      <c r="G11" s="182">
        <v>0</v>
      </c>
      <c r="H11" s="1424">
        <v>0</v>
      </c>
    </row>
    <row r="12" spans="1:8" ht="15.75" thickBot="1">
      <c r="A12" s="179" t="s">
        <v>174</v>
      </c>
      <c r="B12" s="180" t="s">
        <v>157</v>
      </c>
      <c r="C12" s="180" t="s">
        <v>173</v>
      </c>
      <c r="D12" s="181" t="s">
        <v>187</v>
      </c>
      <c r="E12" s="182">
        <v>50</v>
      </c>
      <c r="F12" s="182">
        <f>50-40</f>
        <v>10</v>
      </c>
      <c r="G12" s="182">
        <v>50</v>
      </c>
      <c r="H12" s="1424">
        <v>50</v>
      </c>
    </row>
    <row r="13" spans="1:8" ht="15.75" thickBot="1">
      <c r="A13" s="179" t="s">
        <v>174</v>
      </c>
      <c r="B13" s="180" t="s">
        <v>51</v>
      </c>
      <c r="C13" s="180" t="s">
        <v>173</v>
      </c>
      <c r="D13" s="181" t="s">
        <v>188</v>
      </c>
      <c r="E13" s="182">
        <v>80</v>
      </c>
      <c r="F13" s="182">
        <v>80</v>
      </c>
      <c r="G13" s="182">
        <v>80</v>
      </c>
      <c r="H13" s="1424">
        <v>80</v>
      </c>
    </row>
    <row r="14" spans="1:8" ht="15.75" thickBot="1">
      <c r="A14" s="552" t="s">
        <v>174</v>
      </c>
      <c r="B14" s="180" t="s">
        <v>190</v>
      </c>
      <c r="C14" s="180" t="s">
        <v>173</v>
      </c>
      <c r="D14" s="181" t="s">
        <v>191</v>
      </c>
      <c r="E14" s="182">
        <v>100</v>
      </c>
      <c r="F14" s="182">
        <v>100</v>
      </c>
      <c r="G14" s="182">
        <v>100</v>
      </c>
      <c r="H14" s="1424">
        <v>100</v>
      </c>
    </row>
    <row r="15" spans="1:8" ht="15.75" thickBot="1">
      <c r="A15" s="552" t="s">
        <v>174</v>
      </c>
      <c r="B15" s="180" t="s">
        <v>198</v>
      </c>
      <c r="C15" s="180" t="s">
        <v>173</v>
      </c>
      <c r="D15" s="181" t="s">
        <v>199</v>
      </c>
      <c r="E15" s="182">
        <v>0</v>
      </c>
      <c r="F15" s="182">
        <v>0</v>
      </c>
      <c r="G15" s="182">
        <v>50</v>
      </c>
      <c r="H15" s="1424">
        <v>50</v>
      </c>
    </row>
    <row r="16" spans="1:8" ht="15.75" thickBot="1">
      <c r="A16" s="179" t="s">
        <v>174</v>
      </c>
      <c r="B16" s="180" t="s">
        <v>193</v>
      </c>
      <c r="C16" s="180" t="s">
        <v>194</v>
      </c>
      <c r="D16" s="181" t="s">
        <v>195</v>
      </c>
      <c r="E16" s="182">
        <v>20</v>
      </c>
      <c r="F16" s="182">
        <v>20</v>
      </c>
      <c r="G16" s="182">
        <v>10</v>
      </c>
      <c r="H16" s="1424">
        <v>10</v>
      </c>
    </row>
    <row r="17" spans="1:8" ht="15.75" thickBot="1">
      <c r="A17" s="179" t="s">
        <v>174</v>
      </c>
      <c r="B17" s="180" t="s">
        <v>56</v>
      </c>
      <c r="C17" s="180" t="s">
        <v>194</v>
      </c>
      <c r="D17" s="181" t="s">
        <v>632</v>
      </c>
      <c r="E17" s="182">
        <v>130</v>
      </c>
      <c r="F17" s="182">
        <v>130</v>
      </c>
      <c r="G17" s="182">
        <v>0</v>
      </c>
      <c r="H17" s="1424">
        <v>0</v>
      </c>
    </row>
    <row r="18" spans="1:8" ht="15.75" thickBot="1">
      <c r="A18" s="179" t="s">
        <v>174</v>
      </c>
      <c r="B18" s="180" t="s">
        <v>196</v>
      </c>
      <c r="C18" s="180" t="s">
        <v>194</v>
      </c>
      <c r="D18" s="181" t="s">
        <v>197</v>
      </c>
      <c r="E18" s="182">
        <v>50</v>
      </c>
      <c r="F18" s="182">
        <v>50</v>
      </c>
      <c r="G18" s="182">
        <v>50</v>
      </c>
      <c r="H18" s="1424">
        <v>50</v>
      </c>
    </row>
    <row r="19" spans="1:8" ht="15.75" thickBot="1">
      <c r="A19" s="179" t="s">
        <v>200</v>
      </c>
      <c r="B19" s="180" t="s">
        <v>190</v>
      </c>
      <c r="C19" s="180" t="s">
        <v>201</v>
      </c>
      <c r="D19" s="181" t="s">
        <v>202</v>
      </c>
      <c r="E19" s="182">
        <v>0</v>
      </c>
      <c r="F19" s="182">
        <v>20</v>
      </c>
      <c r="G19" s="182">
        <v>15</v>
      </c>
      <c r="H19" s="1424">
        <v>15</v>
      </c>
    </row>
    <row r="20" spans="1:8" ht="15.75" thickBot="1">
      <c r="A20" s="179" t="s">
        <v>200</v>
      </c>
      <c r="B20" s="180" t="s">
        <v>56</v>
      </c>
      <c r="C20" s="180" t="s">
        <v>201</v>
      </c>
      <c r="D20" s="181" t="s">
        <v>203</v>
      </c>
      <c r="E20" s="182">
        <v>0</v>
      </c>
      <c r="F20" s="182">
        <v>0</v>
      </c>
      <c r="G20" s="182">
        <v>100</v>
      </c>
      <c r="H20" s="1424">
        <v>100</v>
      </c>
    </row>
    <row r="21" spans="1:8" ht="15.75" thickBot="1">
      <c r="A21" s="2023" t="s">
        <v>225</v>
      </c>
      <c r="B21" s="2024"/>
      <c r="C21" s="2024"/>
      <c r="D21" s="2024"/>
      <c r="E21" s="183">
        <f>SUM(E7:E20)</f>
        <v>610</v>
      </c>
      <c r="F21" s="183">
        <f>SUM(F7:F20)</f>
        <v>630</v>
      </c>
      <c r="G21" s="183">
        <f>SUM(G7:G20)</f>
        <v>735</v>
      </c>
      <c r="H21" s="1425">
        <f>SUM(H7:H20)</f>
        <v>735</v>
      </c>
    </row>
    <row r="22" spans="1:8" ht="15.75" thickBot="1">
      <c r="A22" s="184">
        <v>3636</v>
      </c>
      <c r="B22" s="185" t="s">
        <v>189</v>
      </c>
      <c r="C22" s="186">
        <v>4061</v>
      </c>
      <c r="D22" s="187" t="s">
        <v>223</v>
      </c>
      <c r="E22" s="188">
        <v>1000</v>
      </c>
      <c r="F22" s="188">
        <v>1000</v>
      </c>
      <c r="G22" s="188">
        <f>1000-250</f>
        <v>750</v>
      </c>
      <c r="H22" s="1426">
        <f>1000-250</f>
        <v>750</v>
      </c>
    </row>
    <row r="23" spans="1:8" ht="15.75" thickBot="1">
      <c r="A23" s="184">
        <v>3636</v>
      </c>
      <c r="B23" s="185" t="s">
        <v>56</v>
      </c>
      <c r="C23" s="186">
        <v>4061</v>
      </c>
      <c r="D23" s="187" t="s">
        <v>205</v>
      </c>
      <c r="E23" s="188">
        <v>80</v>
      </c>
      <c r="F23" s="188">
        <v>80</v>
      </c>
      <c r="G23" s="188">
        <v>80</v>
      </c>
      <c r="H23" s="1426">
        <v>80</v>
      </c>
    </row>
    <row r="24" spans="1:8" ht="15.75" thickBot="1">
      <c r="A24" s="2025" t="s">
        <v>224</v>
      </c>
      <c r="B24" s="2026"/>
      <c r="C24" s="2026"/>
      <c r="D24" s="2026"/>
      <c r="E24" s="183">
        <f>SUM(E22:E23)</f>
        <v>1080</v>
      </c>
      <c r="F24" s="183">
        <f>SUM(F22:F23)</f>
        <v>1080</v>
      </c>
      <c r="G24" s="183">
        <f>SUM(G22:G23)</f>
        <v>830</v>
      </c>
      <c r="H24" s="1425">
        <f>SUM(H22:H23)</f>
        <v>830</v>
      </c>
    </row>
    <row r="25" spans="1:8" ht="15.75" thickBot="1">
      <c r="A25" s="189">
        <v>3699</v>
      </c>
      <c r="B25" s="190">
        <v>5137</v>
      </c>
      <c r="C25" s="190">
        <v>4080</v>
      </c>
      <c r="D25" s="191" t="s">
        <v>207</v>
      </c>
      <c r="E25" s="182">
        <v>0</v>
      </c>
      <c r="F25" s="182">
        <v>13.3</v>
      </c>
      <c r="G25" s="182">
        <v>10</v>
      </c>
      <c r="H25" s="1424">
        <v>10</v>
      </c>
    </row>
    <row r="26" spans="1:8" ht="18" customHeight="1" thickBot="1">
      <c r="A26" s="189">
        <v>3636</v>
      </c>
      <c r="B26" s="190">
        <v>5164</v>
      </c>
      <c r="C26" s="193">
        <v>4080</v>
      </c>
      <c r="D26" s="191" t="s">
        <v>208</v>
      </c>
      <c r="E26" s="182">
        <v>15</v>
      </c>
      <c r="F26" s="182">
        <v>15</v>
      </c>
      <c r="G26" s="182">
        <v>0</v>
      </c>
      <c r="H26" s="1424">
        <v>0</v>
      </c>
    </row>
    <row r="27" spans="1:8" ht="15.75" thickBot="1">
      <c r="A27" s="194">
        <v>3636</v>
      </c>
      <c r="B27" s="180" t="s">
        <v>189</v>
      </c>
      <c r="C27" s="193">
        <v>4080</v>
      </c>
      <c r="D27" s="195" t="s">
        <v>204</v>
      </c>
      <c r="E27" s="182">
        <v>750</v>
      </c>
      <c r="F27" s="182">
        <f>750+25+36</f>
        <v>811</v>
      </c>
      <c r="G27" s="182">
        <v>500</v>
      </c>
      <c r="H27" s="1424">
        <v>500</v>
      </c>
    </row>
    <row r="28" spans="1:8" ht="15.75" thickBot="1">
      <c r="A28" s="194">
        <v>3636</v>
      </c>
      <c r="B28" s="180" t="s">
        <v>56</v>
      </c>
      <c r="C28" s="193">
        <v>4080</v>
      </c>
      <c r="D28" s="195" t="s">
        <v>211</v>
      </c>
      <c r="E28" s="182">
        <v>100</v>
      </c>
      <c r="F28" s="182">
        <f>100+94.8+19.8+1.094</f>
        <v>215.69400000000002</v>
      </c>
      <c r="G28" s="182">
        <v>150</v>
      </c>
      <c r="H28" s="1424">
        <v>150</v>
      </c>
    </row>
    <row r="29" spans="1:8" ht="15.75" thickBot="1">
      <c r="A29" s="194">
        <v>3636</v>
      </c>
      <c r="B29" s="180" t="s">
        <v>209</v>
      </c>
      <c r="C29" s="193">
        <v>4080</v>
      </c>
      <c r="D29" s="195" t="s">
        <v>210</v>
      </c>
      <c r="E29" s="182">
        <v>25</v>
      </c>
      <c r="F29" s="182">
        <v>25</v>
      </c>
      <c r="G29" s="182">
        <v>25</v>
      </c>
      <c r="H29" s="1424">
        <v>25</v>
      </c>
    </row>
    <row r="30" spans="1:8" ht="15.75" thickBot="1">
      <c r="A30" s="2027" t="s">
        <v>212</v>
      </c>
      <c r="B30" s="2028"/>
      <c r="C30" s="2028"/>
      <c r="D30" s="2028"/>
      <c r="E30" s="167">
        <f>SUM(E25:E29)</f>
        <v>890</v>
      </c>
      <c r="F30" s="167">
        <f>SUM(F25:F29)</f>
        <v>1079.9939999999999</v>
      </c>
      <c r="G30" s="167">
        <f>SUM(G25:G29)</f>
        <v>685</v>
      </c>
      <c r="H30" s="1427">
        <f>SUM(H25:H29)</f>
        <v>685</v>
      </c>
    </row>
    <row r="31" spans="1:8" ht="15.75" thickBot="1">
      <c r="A31" s="179" t="s">
        <v>213</v>
      </c>
      <c r="B31" s="180" t="s">
        <v>209</v>
      </c>
      <c r="C31" s="180" t="s">
        <v>214</v>
      </c>
      <c r="D31" s="196" t="s">
        <v>206</v>
      </c>
      <c r="E31" s="197">
        <v>25</v>
      </c>
      <c r="F31" s="197">
        <v>25</v>
      </c>
      <c r="G31" s="197">
        <v>0</v>
      </c>
      <c r="H31" s="1428">
        <v>0</v>
      </c>
    </row>
    <row r="32" spans="1:8" ht="15.75" thickBot="1">
      <c r="A32" s="179" t="s">
        <v>213</v>
      </c>
      <c r="B32" s="180" t="s">
        <v>189</v>
      </c>
      <c r="C32" s="180" t="s">
        <v>214</v>
      </c>
      <c r="D32" s="196" t="s">
        <v>204</v>
      </c>
      <c r="E32" s="197">
        <v>250</v>
      </c>
      <c r="F32" s="197">
        <f>250-20</f>
        <v>230</v>
      </c>
      <c r="G32" s="197">
        <v>360</v>
      </c>
      <c r="H32" s="1428">
        <v>360</v>
      </c>
    </row>
    <row r="33" spans="1:9" ht="15.75" hidden="1" thickBot="1">
      <c r="A33" s="198">
        <v>3699</v>
      </c>
      <c r="B33" s="199">
        <v>5136</v>
      </c>
      <c r="C33" s="199">
        <v>3404</v>
      </c>
      <c r="D33" s="191" t="s">
        <v>215</v>
      </c>
      <c r="E33" s="200">
        <v>0</v>
      </c>
      <c r="F33" s="200">
        <v>2</v>
      </c>
      <c r="G33" s="200">
        <v>0</v>
      </c>
      <c r="H33" s="1429">
        <v>0</v>
      </c>
    </row>
    <row r="34" spans="1:9" ht="15.75" thickBot="1">
      <c r="A34" s="189">
        <v>3699</v>
      </c>
      <c r="B34" s="190">
        <v>5139</v>
      </c>
      <c r="C34" s="190">
        <v>3404</v>
      </c>
      <c r="D34" s="191" t="s">
        <v>156</v>
      </c>
      <c r="E34" s="192">
        <v>0</v>
      </c>
      <c r="F34" s="192">
        <v>0</v>
      </c>
      <c r="G34" s="192">
        <v>20</v>
      </c>
      <c r="H34" s="1430">
        <v>20</v>
      </c>
    </row>
    <row r="35" spans="1:9" ht="15.75" thickBot="1">
      <c r="A35" s="198">
        <v>3699</v>
      </c>
      <c r="B35" s="199">
        <v>5164</v>
      </c>
      <c r="C35" s="199">
        <v>3404</v>
      </c>
      <c r="D35" s="191" t="s">
        <v>216</v>
      </c>
      <c r="E35" s="200">
        <v>20</v>
      </c>
      <c r="F35" s="200">
        <v>20</v>
      </c>
      <c r="G35" s="200">
        <v>20</v>
      </c>
      <c r="H35" s="1429">
        <v>20</v>
      </c>
    </row>
    <row r="36" spans="1:9" ht="15.75" thickBot="1">
      <c r="A36" s="189">
        <v>3699</v>
      </c>
      <c r="B36" s="190">
        <v>5166</v>
      </c>
      <c r="C36" s="190">
        <v>3404</v>
      </c>
      <c r="D36" s="191" t="s">
        <v>217</v>
      </c>
      <c r="E36" s="192">
        <v>30</v>
      </c>
      <c r="F36" s="192">
        <v>30</v>
      </c>
      <c r="G36" s="192">
        <v>15</v>
      </c>
      <c r="H36" s="1430">
        <v>15</v>
      </c>
    </row>
    <row r="37" spans="1:9" ht="15.75" thickBot="1">
      <c r="A37" s="189">
        <v>3699</v>
      </c>
      <c r="B37" s="190">
        <v>5167</v>
      </c>
      <c r="C37" s="190">
        <v>3404</v>
      </c>
      <c r="D37" s="191" t="s">
        <v>219</v>
      </c>
      <c r="E37" s="192">
        <v>50</v>
      </c>
      <c r="F37" s="192">
        <v>50</v>
      </c>
      <c r="G37" s="192">
        <v>0</v>
      </c>
      <c r="H37" s="1430">
        <v>33</v>
      </c>
    </row>
    <row r="38" spans="1:9" ht="15.75" thickBot="1">
      <c r="A38" s="189">
        <v>3699</v>
      </c>
      <c r="B38" s="190">
        <v>5169</v>
      </c>
      <c r="C38" s="190">
        <v>3404</v>
      </c>
      <c r="D38" s="191" t="s">
        <v>221</v>
      </c>
      <c r="E38" s="192">
        <v>20</v>
      </c>
      <c r="F38" s="192">
        <f>20-2</f>
        <v>18</v>
      </c>
      <c r="G38" s="192">
        <v>10</v>
      </c>
      <c r="H38" s="1430">
        <v>10</v>
      </c>
    </row>
    <row r="39" spans="1:9" ht="15.75" thickBot="1">
      <c r="A39" s="198">
        <v>3699</v>
      </c>
      <c r="B39" s="199">
        <v>5175</v>
      </c>
      <c r="C39" s="199">
        <v>3404</v>
      </c>
      <c r="D39" s="191" t="s">
        <v>218</v>
      </c>
      <c r="E39" s="200">
        <v>15</v>
      </c>
      <c r="F39" s="200">
        <v>15</v>
      </c>
      <c r="G39" s="200">
        <v>0</v>
      </c>
      <c r="H39" s="1429">
        <v>0</v>
      </c>
    </row>
    <row r="40" spans="1:9" ht="15.75" thickBot="1">
      <c r="A40" s="198">
        <v>3699</v>
      </c>
      <c r="B40" s="199">
        <v>5361</v>
      </c>
      <c r="C40" s="199">
        <v>3404</v>
      </c>
      <c r="D40" s="191" t="s">
        <v>220</v>
      </c>
      <c r="E40" s="200">
        <v>2</v>
      </c>
      <c r="F40" s="200">
        <v>2</v>
      </c>
      <c r="G40" s="200">
        <v>2</v>
      </c>
      <c r="H40" s="1429">
        <v>2</v>
      </c>
    </row>
    <row r="41" spans="1:9" ht="15.75" thickBot="1">
      <c r="A41" s="2005" t="s">
        <v>226</v>
      </c>
      <c r="B41" s="2006"/>
      <c r="C41" s="2006"/>
      <c r="D41" s="2007"/>
      <c r="E41" s="168">
        <f>SUM(E31:E40)</f>
        <v>412</v>
      </c>
      <c r="F41" s="168">
        <f>SUM(F31:F40)</f>
        <v>392</v>
      </c>
      <c r="G41" s="168">
        <f>SUM(G31:G40)</f>
        <v>427</v>
      </c>
      <c r="H41" s="1431">
        <f>SUM(H31:H40)</f>
        <v>460</v>
      </c>
    </row>
    <row r="42" spans="1:9" ht="5.25" customHeight="1" thickTop="1" thickBot="1">
      <c r="E42" s="169"/>
      <c r="F42" s="169"/>
      <c r="G42" s="169"/>
      <c r="H42" s="169"/>
    </row>
    <row r="43" spans="1:9" ht="16.5" thickTop="1" thickBot="1">
      <c r="D43" s="170" t="s">
        <v>30</v>
      </c>
      <c r="E43" s="171">
        <f>SUM(E21,E24,E30,E41)</f>
        <v>2992</v>
      </c>
      <c r="F43" s="171">
        <f>SUM(F21,F24,F30,F41)</f>
        <v>3181.9939999999997</v>
      </c>
      <c r="G43" s="171">
        <f>SUM(G21,G24,G30,G41)</f>
        <v>2677</v>
      </c>
      <c r="H43" s="1329">
        <f>SUM(H21,H24,H30,H41)</f>
        <v>2710</v>
      </c>
    </row>
    <row r="44" spans="1:9" ht="7.5" customHeight="1" thickTop="1" thickBot="1">
      <c r="A44" s="172"/>
      <c r="B44" s="172"/>
      <c r="C44" s="172"/>
      <c r="D44" s="173"/>
      <c r="E44" s="174"/>
      <c r="F44" s="174"/>
      <c r="G44" s="174"/>
      <c r="H44" s="174"/>
    </row>
    <row r="45" spans="1:9" ht="16.5" thickTop="1" thickBot="1">
      <c r="A45" s="175"/>
      <c r="B45" s="176"/>
      <c r="C45" s="176"/>
      <c r="D45" s="177" t="s">
        <v>222</v>
      </c>
      <c r="E45" s="124">
        <f>SUM(E43)</f>
        <v>2992</v>
      </c>
      <c r="F45" s="124">
        <f>SUM(F43)</f>
        <v>3181.9939999999997</v>
      </c>
      <c r="G45" s="124">
        <f>SUM(G43)</f>
        <v>2677</v>
      </c>
      <c r="H45" s="1423">
        <f>SUM(H43)</f>
        <v>2710</v>
      </c>
      <c r="I45" s="169"/>
    </row>
    <row r="46" spans="1:9" ht="15.75" thickTop="1">
      <c r="E46" s="178"/>
      <c r="F46" s="178"/>
      <c r="G46" s="178"/>
      <c r="H46" s="178"/>
    </row>
  </sheetData>
  <mergeCells count="8">
    <mergeCell ref="H4:H6"/>
    <mergeCell ref="G4:G6"/>
    <mergeCell ref="A41:D41"/>
    <mergeCell ref="A21:D21"/>
    <mergeCell ref="A24:D24"/>
    <mergeCell ref="A30:D30"/>
    <mergeCell ref="F4:F6"/>
    <mergeCell ref="E4:E6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97" firstPageNumber="69" orientation="portrait" useFirstPageNumber="1" r:id="rId1"/>
  <headerFooter>
    <oddHeader>&amp;C&amp;"Times New Roman,Tučné"II. Rozpis rozpočtu</oddHeader>
    <oddFooter>&amp;C&amp;P</oddFooter>
  </headerFooter>
  <ignoredErrors>
    <ignoredError sqref="B7:C20 B22:B23 B27 B28:B29 B31:C32 A31:A32 A8:A20" numberStoredAsText="1"/>
  </ignoredError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</sheetPr>
  <dimension ref="A3:T127"/>
  <sheetViews>
    <sheetView zoomScaleNormal="100" workbookViewId="0">
      <selection activeCell="J81" sqref="J81"/>
    </sheetView>
  </sheetViews>
  <sheetFormatPr defaultRowHeight="15.75" customHeight="1"/>
  <cols>
    <col min="1" max="1" width="4.85546875" style="203" customWidth="1"/>
    <col min="2" max="4" width="5.7109375" style="159" customWidth="1"/>
    <col min="5" max="5" width="43" style="204" customWidth="1"/>
    <col min="6" max="6" width="9.85546875" style="205" customWidth="1"/>
    <col min="7" max="7" width="9.85546875" style="205" hidden="1" customWidth="1"/>
    <col min="8" max="9" width="9.85546875" style="205" customWidth="1"/>
    <col min="10" max="10" width="11.85546875" style="12" bestFit="1" customWidth="1"/>
    <col min="11" max="16384" width="9.140625" style="12"/>
  </cols>
  <sheetData>
    <row r="3" spans="1:10" ht="15.75" customHeight="1" thickBot="1"/>
    <row r="4" spans="1:10" ht="15.75" customHeight="1" thickTop="1">
      <c r="B4" s="41"/>
      <c r="C4" s="163"/>
      <c r="D4" s="164"/>
      <c r="E4" s="206"/>
      <c r="F4" s="1962" t="s">
        <v>44</v>
      </c>
      <c r="G4" s="1962" t="s">
        <v>43</v>
      </c>
      <c r="H4" s="1962" t="s">
        <v>1487</v>
      </c>
      <c r="I4" s="1971" t="s">
        <v>1488</v>
      </c>
    </row>
    <row r="5" spans="1:10" ht="15.75" customHeight="1">
      <c r="A5" s="203" t="s">
        <v>120</v>
      </c>
      <c r="B5" s="36" t="s">
        <v>42</v>
      </c>
      <c r="C5" s="35" t="s">
        <v>41</v>
      </c>
      <c r="D5" s="34" t="s">
        <v>40</v>
      </c>
      <c r="E5" s="207"/>
      <c r="F5" s="1963"/>
      <c r="G5" s="1963"/>
      <c r="H5" s="1963"/>
      <c r="I5" s="1972"/>
    </row>
    <row r="6" spans="1:10" ht="15.75" customHeight="1" thickBot="1">
      <c r="B6" s="31"/>
      <c r="C6" s="30"/>
      <c r="D6" s="29"/>
      <c r="E6" s="208" t="s">
        <v>38</v>
      </c>
      <c r="F6" s="1964"/>
      <c r="G6" s="1964"/>
      <c r="H6" s="1964"/>
      <c r="I6" s="1973"/>
    </row>
    <row r="7" spans="1:10" ht="15.75" customHeight="1" thickTop="1" thickBot="1">
      <c r="B7" s="214" t="s">
        <v>229</v>
      </c>
      <c r="C7" s="215" t="s">
        <v>54</v>
      </c>
      <c r="D7" s="215" t="s">
        <v>230</v>
      </c>
      <c r="E7" s="216" t="s">
        <v>231</v>
      </c>
      <c r="F7" s="213">
        <v>0</v>
      </c>
      <c r="G7" s="213">
        <v>4697</v>
      </c>
      <c r="H7" s="213">
        <v>0</v>
      </c>
      <c r="I7" s="1406">
        <v>0</v>
      </c>
    </row>
    <row r="8" spans="1:10" ht="15.75" customHeight="1" thickBot="1">
      <c r="B8" s="217">
        <v>2212</v>
      </c>
      <c r="C8" s="218" t="s">
        <v>54</v>
      </c>
      <c r="D8" s="218">
        <v>3540</v>
      </c>
      <c r="E8" s="219" t="s">
        <v>232</v>
      </c>
      <c r="F8" s="213">
        <v>0</v>
      </c>
      <c r="G8" s="213">
        <f>825-9.639</f>
        <v>815.36099999999999</v>
      </c>
      <c r="H8" s="213">
        <v>0</v>
      </c>
      <c r="I8" s="1406">
        <v>0</v>
      </c>
    </row>
    <row r="9" spans="1:10" ht="15.75" customHeight="1" thickBot="1">
      <c r="B9" s="210">
        <v>2219</v>
      </c>
      <c r="C9" s="211">
        <v>5164</v>
      </c>
      <c r="D9" s="211">
        <v>3547</v>
      </c>
      <c r="E9" s="212" t="s">
        <v>233</v>
      </c>
      <c r="F9" s="213">
        <v>0</v>
      </c>
      <c r="G9" s="213">
        <v>73.7</v>
      </c>
      <c r="H9" s="213">
        <v>0</v>
      </c>
      <c r="I9" s="1406">
        <v>0</v>
      </c>
    </row>
    <row r="10" spans="1:10" ht="15.75" customHeight="1" thickBot="1">
      <c r="B10" s="217">
        <v>2219</v>
      </c>
      <c r="C10" s="218" t="s">
        <v>54</v>
      </c>
      <c r="D10" s="218">
        <v>3552</v>
      </c>
      <c r="E10" s="220" t="s">
        <v>234</v>
      </c>
      <c r="F10" s="213">
        <v>0</v>
      </c>
      <c r="G10" s="213">
        <v>400</v>
      </c>
      <c r="H10" s="213">
        <v>0</v>
      </c>
      <c r="I10" s="1406">
        <v>0</v>
      </c>
    </row>
    <row r="11" spans="1:10" ht="15.75" customHeight="1" thickTop="1" thickBot="1">
      <c r="B11" s="221">
        <v>3699</v>
      </c>
      <c r="C11" s="222" t="s">
        <v>56</v>
      </c>
      <c r="D11" s="223">
        <v>4090</v>
      </c>
      <c r="E11" s="224" t="s">
        <v>235</v>
      </c>
      <c r="F11" s="1705">
        <v>1100</v>
      </c>
      <c r="G11" s="1705">
        <v>1100</v>
      </c>
      <c r="H11" s="1705">
        <v>400</v>
      </c>
      <c r="I11" s="1706">
        <f>400+468</f>
        <v>868</v>
      </c>
      <c r="J11" s="971"/>
    </row>
    <row r="12" spans="1:10" ht="15.75" customHeight="1" thickBot="1">
      <c r="B12" s="225">
        <v>3699</v>
      </c>
      <c r="C12" s="226" t="s">
        <v>56</v>
      </c>
      <c r="D12" s="227">
        <v>4090</v>
      </c>
      <c r="E12" s="228" t="s">
        <v>236</v>
      </c>
      <c r="F12" s="1707">
        <v>0</v>
      </c>
      <c r="G12" s="1707">
        <v>600</v>
      </c>
      <c r="H12" s="1707">
        <v>0</v>
      </c>
      <c r="I12" s="1708">
        <v>0</v>
      </c>
    </row>
    <row r="13" spans="1:10" ht="15.75" customHeight="1" thickBot="1">
      <c r="A13" s="203">
        <v>521</v>
      </c>
      <c r="B13" s="2039" t="s">
        <v>321</v>
      </c>
      <c r="C13" s="2040"/>
      <c r="D13" s="2040"/>
      <c r="E13" s="2041"/>
      <c r="F13" s="272">
        <f>SUM(F11:F12)</f>
        <v>1100</v>
      </c>
      <c r="G13" s="272">
        <f>SUM(G11:G12)</f>
        <v>1700</v>
      </c>
      <c r="H13" s="272">
        <f>SUM(H11:H12)</f>
        <v>400</v>
      </c>
      <c r="I13" s="1407">
        <f>SUM(I11:I12)</f>
        <v>868</v>
      </c>
    </row>
    <row r="14" spans="1:10" ht="15.75" customHeight="1" thickTop="1" thickBot="1">
      <c r="B14" s="229">
        <v>3699</v>
      </c>
      <c r="C14" s="230">
        <v>5166</v>
      </c>
      <c r="D14" s="230">
        <v>3500</v>
      </c>
      <c r="E14" s="231" t="s">
        <v>237</v>
      </c>
      <c r="F14" s="232">
        <v>410</v>
      </c>
      <c r="G14" s="232">
        <f>410-79</f>
        <v>331</v>
      </c>
      <c r="H14" s="232">
        <v>418</v>
      </c>
      <c r="I14" s="1346">
        <v>418</v>
      </c>
    </row>
    <row r="15" spans="1:10" ht="15.75" customHeight="1" thickBot="1">
      <c r="B15" s="229">
        <v>3699</v>
      </c>
      <c r="C15" s="230" t="s">
        <v>56</v>
      </c>
      <c r="D15" s="230">
        <v>3500</v>
      </c>
      <c r="E15" s="231" t="s">
        <v>55</v>
      </c>
      <c r="F15" s="232">
        <v>0</v>
      </c>
      <c r="G15" s="232">
        <v>79</v>
      </c>
      <c r="H15" s="232">
        <v>0</v>
      </c>
      <c r="I15" s="1346">
        <v>0</v>
      </c>
    </row>
    <row r="16" spans="1:10" ht="15.75" customHeight="1" thickBot="1">
      <c r="B16" s="229" t="s">
        <v>238</v>
      </c>
      <c r="C16" s="230" t="s">
        <v>193</v>
      </c>
      <c r="D16" s="230" t="s">
        <v>239</v>
      </c>
      <c r="E16" s="231" t="s">
        <v>240</v>
      </c>
      <c r="F16" s="232">
        <v>0</v>
      </c>
      <c r="G16" s="232">
        <v>1.3</v>
      </c>
      <c r="H16" s="232">
        <v>0</v>
      </c>
      <c r="I16" s="1346">
        <v>0</v>
      </c>
    </row>
    <row r="17" spans="1:11" ht="15.75" customHeight="1" thickBot="1">
      <c r="B17" s="229" t="s">
        <v>238</v>
      </c>
      <c r="C17" s="230" t="s">
        <v>51</v>
      </c>
      <c r="D17" s="230" t="s">
        <v>239</v>
      </c>
      <c r="E17" s="231" t="s">
        <v>50</v>
      </c>
      <c r="F17" s="232">
        <v>0</v>
      </c>
      <c r="G17" s="232">
        <v>1.9</v>
      </c>
      <c r="H17" s="232">
        <v>0</v>
      </c>
      <c r="I17" s="1346">
        <v>0</v>
      </c>
    </row>
    <row r="18" spans="1:11" ht="15.75" customHeight="1" thickBot="1">
      <c r="B18" s="62">
        <v>3699</v>
      </c>
      <c r="C18" s="61">
        <v>5169</v>
      </c>
      <c r="D18" s="61">
        <v>3501</v>
      </c>
      <c r="E18" s="233" t="s">
        <v>211</v>
      </c>
      <c r="F18" s="234">
        <v>308</v>
      </c>
      <c r="G18" s="234">
        <f>308-1.9-1.3</f>
        <v>304.8</v>
      </c>
      <c r="H18" s="234">
        <v>348</v>
      </c>
      <c r="I18" s="1340">
        <v>348</v>
      </c>
    </row>
    <row r="19" spans="1:11" ht="15.75" hidden="1" customHeight="1" thickBot="1">
      <c r="B19" s="229">
        <v>3699</v>
      </c>
      <c r="C19" s="61" t="s">
        <v>54</v>
      </c>
      <c r="D19" s="61" t="s">
        <v>239</v>
      </c>
      <c r="E19" s="233" t="s">
        <v>53</v>
      </c>
      <c r="F19" s="234">
        <v>0</v>
      </c>
      <c r="G19" s="234">
        <v>0</v>
      </c>
      <c r="H19" s="234"/>
      <c r="I19" s="1340"/>
    </row>
    <row r="20" spans="1:11" ht="15.75" customHeight="1" thickBot="1">
      <c r="B20" s="62" t="s">
        <v>238</v>
      </c>
      <c r="C20" s="61" t="s">
        <v>56</v>
      </c>
      <c r="D20" s="61" t="s">
        <v>241</v>
      </c>
      <c r="E20" s="233" t="s">
        <v>242</v>
      </c>
      <c r="F20" s="234">
        <v>0</v>
      </c>
      <c r="G20" s="234">
        <v>500</v>
      </c>
      <c r="H20" s="234">
        <v>500</v>
      </c>
      <c r="I20" s="1340">
        <v>500</v>
      </c>
    </row>
    <row r="21" spans="1:11" ht="15.75" customHeight="1" thickBot="1">
      <c r="B21" s="2042" t="s">
        <v>243</v>
      </c>
      <c r="C21" s="2043"/>
      <c r="D21" s="2043"/>
      <c r="E21" s="2043"/>
      <c r="F21" s="235">
        <f>SUM(F14:F20)</f>
        <v>718</v>
      </c>
      <c r="G21" s="235">
        <f>SUM(G14:G20)</f>
        <v>1218</v>
      </c>
      <c r="H21" s="235">
        <f>SUM(H14:H20)</f>
        <v>1266</v>
      </c>
      <c r="I21" s="1408">
        <f>SUM(I14:I20)</f>
        <v>1266</v>
      </c>
    </row>
    <row r="22" spans="1:11" ht="15.75" customHeight="1" thickBot="1">
      <c r="B22" s="62">
        <v>3699</v>
      </c>
      <c r="C22" s="61">
        <v>5164</v>
      </c>
      <c r="D22" s="61">
        <v>4016</v>
      </c>
      <c r="E22" s="233" t="s">
        <v>208</v>
      </c>
      <c r="F22" s="236">
        <v>50</v>
      </c>
      <c r="G22" s="236">
        <v>50</v>
      </c>
      <c r="H22" s="236">
        <v>20</v>
      </c>
      <c r="I22" s="1409">
        <v>20</v>
      </c>
    </row>
    <row r="23" spans="1:11" ht="15.75" customHeight="1" thickBot="1">
      <c r="B23" s="62">
        <v>3699</v>
      </c>
      <c r="C23" s="61">
        <v>5169</v>
      </c>
      <c r="D23" s="61" t="s">
        <v>244</v>
      </c>
      <c r="E23" s="233" t="s">
        <v>175</v>
      </c>
      <c r="F23" s="237">
        <v>50</v>
      </c>
      <c r="G23" s="237">
        <v>50</v>
      </c>
      <c r="H23" s="237">
        <v>40</v>
      </c>
      <c r="I23" s="1410">
        <v>40</v>
      </c>
    </row>
    <row r="24" spans="1:11" ht="15.75" customHeight="1" thickBot="1">
      <c r="B24" s="2042" t="s">
        <v>245</v>
      </c>
      <c r="C24" s="2043"/>
      <c r="D24" s="2043"/>
      <c r="E24" s="2043"/>
      <c r="F24" s="235">
        <f>SUM(F22:F23)</f>
        <v>100</v>
      </c>
      <c r="G24" s="235">
        <f>SUM(G22:G23)</f>
        <v>100</v>
      </c>
      <c r="H24" s="235">
        <f>SUM(H22:H23)</f>
        <v>60</v>
      </c>
      <c r="I24" s="1408">
        <f>SUM(I22:I23)</f>
        <v>60</v>
      </c>
    </row>
    <row r="25" spans="1:11" ht="15.75" customHeight="1" thickBot="1">
      <c r="A25" s="203">
        <v>501</v>
      </c>
      <c r="B25" s="2037" t="s">
        <v>246</v>
      </c>
      <c r="C25" s="2038"/>
      <c r="D25" s="2038"/>
      <c r="E25" s="2038"/>
      <c r="F25" s="238">
        <f>SUM(F21:F21,F24)</f>
        <v>818</v>
      </c>
      <c r="G25" s="238">
        <f>SUM(G21:G21,G24)</f>
        <v>1318</v>
      </c>
      <c r="H25" s="238">
        <f>SUM(H21:H21,H24)</f>
        <v>1326</v>
      </c>
      <c r="I25" s="1338">
        <f>SUM(I21:I21,I24)</f>
        <v>1326</v>
      </c>
    </row>
    <row r="26" spans="1:11" s="17" customFormat="1" ht="6" customHeight="1" thickTop="1" thickBot="1">
      <c r="A26" s="239"/>
      <c r="B26" s="22"/>
      <c r="C26" s="22"/>
      <c r="D26" s="21"/>
      <c r="E26" s="240"/>
      <c r="F26" s="241"/>
      <c r="G26" s="241"/>
      <c r="H26" s="241"/>
      <c r="I26" s="241"/>
    </row>
    <row r="27" spans="1:11" s="16" customFormat="1" ht="15.75" customHeight="1" thickTop="1" thickBot="1">
      <c r="A27" s="209"/>
      <c r="B27" s="242"/>
      <c r="C27" s="242"/>
      <c r="D27" s="242"/>
      <c r="E27" s="243" t="s">
        <v>30</v>
      </c>
      <c r="F27" s="171">
        <f>SUM(F7:F10,F13,F25)</f>
        <v>1918</v>
      </c>
      <c r="G27" s="171">
        <f t="shared" ref="G27:H27" si="0">SUM(G7:G10,G13,G25)</f>
        <v>9004.0609999999997</v>
      </c>
      <c r="H27" s="171">
        <f t="shared" si="0"/>
        <v>1726</v>
      </c>
      <c r="I27" s="1329">
        <f t="shared" ref="I27" si="1">SUM(I7:I10,I13,I25)</f>
        <v>2194</v>
      </c>
      <c r="K27" s="828"/>
    </row>
    <row r="28" spans="1:11" ht="15.75" customHeight="1" thickTop="1"/>
    <row r="31" spans="1:11" ht="15.75" customHeight="1" thickBot="1"/>
    <row r="32" spans="1:11" ht="15.75" customHeight="1" thickTop="1">
      <c r="B32" s="41"/>
      <c r="C32" s="163"/>
      <c r="D32" s="164"/>
      <c r="E32" s="206"/>
      <c r="F32" s="1962" t="s">
        <v>44</v>
      </c>
      <c r="G32" s="1962" t="s">
        <v>43</v>
      </c>
      <c r="H32" s="1962" t="s">
        <v>1487</v>
      </c>
      <c r="I32" s="1971" t="s">
        <v>1488</v>
      </c>
    </row>
    <row r="33" spans="2:10" ht="15.75" customHeight="1">
      <c r="B33" s="36" t="s">
        <v>42</v>
      </c>
      <c r="C33" s="35" t="s">
        <v>41</v>
      </c>
      <c r="D33" s="34" t="s">
        <v>40</v>
      </c>
      <c r="E33" s="207"/>
      <c r="F33" s="1963"/>
      <c r="G33" s="1963"/>
      <c r="H33" s="1963"/>
      <c r="I33" s="1972"/>
    </row>
    <row r="34" spans="2:10" ht="15.75" customHeight="1" thickBot="1">
      <c r="B34" s="31"/>
      <c r="C34" s="30"/>
      <c r="D34" s="29"/>
      <c r="E34" s="208" t="s">
        <v>38</v>
      </c>
      <c r="F34" s="1964"/>
      <c r="G34" s="1964"/>
      <c r="H34" s="1964"/>
      <c r="I34" s="1973"/>
    </row>
    <row r="35" spans="2:10" ht="15.75" customHeight="1" thickTop="1" thickBot="1">
      <c r="B35" s="254" t="s">
        <v>229</v>
      </c>
      <c r="C35" s="255" t="s">
        <v>248</v>
      </c>
      <c r="D35" s="255" t="s">
        <v>1453</v>
      </c>
      <c r="E35" s="821" t="s">
        <v>1150</v>
      </c>
      <c r="F35" s="822">
        <v>0</v>
      </c>
      <c r="G35" s="822">
        <v>0</v>
      </c>
      <c r="H35" s="822">
        <v>8200</v>
      </c>
      <c r="I35" s="1354">
        <v>8200</v>
      </c>
      <c r="J35" s="122"/>
    </row>
    <row r="36" spans="2:10" ht="15.75" customHeight="1" thickBot="1">
      <c r="B36" s="254" t="s">
        <v>276</v>
      </c>
      <c r="C36" s="255" t="s">
        <v>248</v>
      </c>
      <c r="D36" s="255" t="s">
        <v>1454</v>
      </c>
      <c r="E36" s="821" t="s">
        <v>1151</v>
      </c>
      <c r="F36" s="822">
        <v>0</v>
      </c>
      <c r="G36" s="822">
        <v>0</v>
      </c>
      <c r="H36" s="822">
        <v>6200</v>
      </c>
      <c r="I36" s="1354">
        <v>6200</v>
      </c>
      <c r="J36" s="122"/>
    </row>
    <row r="37" spans="2:10" ht="15.75" customHeight="1" thickBot="1">
      <c r="B37" s="857" t="s">
        <v>276</v>
      </c>
      <c r="C37" s="844" t="s">
        <v>248</v>
      </c>
      <c r="D37" s="844" t="s">
        <v>1455</v>
      </c>
      <c r="E37" s="959" t="s">
        <v>1211</v>
      </c>
      <c r="F37" s="822">
        <v>0</v>
      </c>
      <c r="G37" s="822">
        <v>0</v>
      </c>
      <c r="H37" s="822">
        <v>32000</v>
      </c>
      <c r="I37" s="1354">
        <v>32000</v>
      </c>
      <c r="J37" s="122"/>
    </row>
    <row r="38" spans="2:10" ht="15.75" customHeight="1" thickBot="1">
      <c r="B38" s="775" t="s">
        <v>238</v>
      </c>
      <c r="C38" s="776" t="s">
        <v>248</v>
      </c>
      <c r="D38" s="776" t="s">
        <v>252</v>
      </c>
      <c r="E38" s="777" t="s">
        <v>253</v>
      </c>
      <c r="F38" s="727">
        <v>5000</v>
      </c>
      <c r="G38" s="727">
        <v>5000</v>
      </c>
      <c r="H38" s="727">
        <v>41200</v>
      </c>
      <c r="I38" s="1411">
        <f>41200+732</f>
        <v>41932</v>
      </c>
      <c r="J38" s="1736"/>
    </row>
    <row r="39" spans="2:10" ht="15.75" customHeight="1" thickBot="1">
      <c r="B39" s="248" t="s">
        <v>238</v>
      </c>
      <c r="C39" s="249" t="s">
        <v>248</v>
      </c>
      <c r="D39" s="249" t="s">
        <v>252</v>
      </c>
      <c r="E39" s="778" t="s">
        <v>254</v>
      </c>
      <c r="F39" s="553">
        <v>0</v>
      </c>
      <c r="G39" s="553">
        <v>4519</v>
      </c>
      <c r="H39" s="553">
        <v>0</v>
      </c>
      <c r="I39" s="1412">
        <v>0</v>
      </c>
      <c r="J39" s="122"/>
    </row>
    <row r="40" spans="2:10" ht="15.75" customHeight="1" thickBot="1">
      <c r="B40" s="2035" t="s">
        <v>253</v>
      </c>
      <c r="C40" s="2036"/>
      <c r="D40" s="2036"/>
      <c r="E40" s="2036"/>
      <c r="F40" s="740">
        <f>SUM(F38:F39)</f>
        <v>5000</v>
      </c>
      <c r="G40" s="740">
        <f>SUM(G38:G39)</f>
        <v>9519</v>
      </c>
      <c r="H40" s="740">
        <f>SUM(H38:H39)</f>
        <v>41200</v>
      </c>
      <c r="I40" s="1413">
        <f>SUM(I38:I39)</f>
        <v>41932</v>
      </c>
      <c r="J40" s="122"/>
    </row>
    <row r="41" spans="2:10" ht="15.75" customHeight="1" thickTop="1" thickBot="1">
      <c r="B41" s="775" t="s">
        <v>238</v>
      </c>
      <c r="C41" s="776" t="s">
        <v>248</v>
      </c>
      <c r="D41" s="776" t="s">
        <v>255</v>
      </c>
      <c r="E41" s="777" t="s">
        <v>256</v>
      </c>
      <c r="F41" s="727">
        <v>5000</v>
      </c>
      <c r="G41" s="727">
        <v>5000</v>
      </c>
      <c r="H41" s="727">
        <v>30000</v>
      </c>
      <c r="I41" s="1411">
        <f>30000+679</f>
        <v>30679</v>
      </c>
      <c r="J41" s="1736"/>
    </row>
    <row r="42" spans="2:10" ht="15.75" customHeight="1" thickBot="1">
      <c r="B42" s="248" t="s">
        <v>238</v>
      </c>
      <c r="C42" s="249" t="s">
        <v>248</v>
      </c>
      <c r="D42" s="249" t="s">
        <v>255</v>
      </c>
      <c r="E42" s="778" t="s">
        <v>257</v>
      </c>
      <c r="F42" s="553">
        <v>0</v>
      </c>
      <c r="G42" s="553">
        <v>3379.8</v>
      </c>
      <c r="H42" s="553">
        <v>0</v>
      </c>
      <c r="I42" s="1412">
        <v>0</v>
      </c>
      <c r="J42" s="122"/>
    </row>
    <row r="43" spans="2:10" ht="15.75" customHeight="1" thickBot="1">
      <c r="B43" s="2035" t="s">
        <v>256</v>
      </c>
      <c r="C43" s="2036"/>
      <c r="D43" s="2036"/>
      <c r="E43" s="2036"/>
      <c r="F43" s="740">
        <f>SUM(F41:F42)</f>
        <v>5000</v>
      </c>
      <c r="G43" s="740">
        <f>SUM(G41:G42)</f>
        <v>8379.7999999999993</v>
      </c>
      <c r="H43" s="740">
        <f>SUM(H41:H42)</f>
        <v>30000</v>
      </c>
      <c r="I43" s="1413">
        <f>SUM(I41:I42)</f>
        <v>30679</v>
      </c>
      <c r="J43" s="122"/>
    </row>
    <row r="44" spans="2:10" ht="15.75" customHeight="1" thickTop="1" thickBot="1">
      <c r="B44" s="254" t="s">
        <v>176</v>
      </c>
      <c r="C44" s="255" t="s">
        <v>248</v>
      </c>
      <c r="D44" s="255" t="s">
        <v>1456</v>
      </c>
      <c r="E44" s="219" t="s">
        <v>1157</v>
      </c>
      <c r="F44" s="252">
        <v>0</v>
      </c>
      <c r="G44" s="252">
        <v>0</v>
      </c>
      <c r="H44" s="252">
        <v>8755</v>
      </c>
      <c r="I44" s="1354">
        <v>8755</v>
      </c>
      <c r="J44" s="122"/>
    </row>
    <row r="45" spans="2:10" ht="15.75" customHeight="1" thickBot="1">
      <c r="B45" s="254" t="s">
        <v>176</v>
      </c>
      <c r="C45" s="255" t="s">
        <v>248</v>
      </c>
      <c r="D45" s="255" t="s">
        <v>1457</v>
      </c>
      <c r="E45" s="219" t="s">
        <v>1156</v>
      </c>
      <c r="F45" s="252">
        <v>0</v>
      </c>
      <c r="G45" s="252">
        <v>0</v>
      </c>
      <c r="H45" s="252">
        <v>13515</v>
      </c>
      <c r="I45" s="1354">
        <v>13515</v>
      </c>
      <c r="J45" s="122"/>
    </row>
    <row r="46" spans="2:10" ht="15.75" customHeight="1" thickBot="1">
      <c r="B46" s="254" t="s">
        <v>176</v>
      </c>
      <c r="C46" s="255" t="s">
        <v>248</v>
      </c>
      <c r="D46" s="255" t="s">
        <v>1458</v>
      </c>
      <c r="E46" s="823" t="s">
        <v>299</v>
      </c>
      <c r="F46" s="252">
        <f>0.75*3100</f>
        <v>2325</v>
      </c>
      <c r="G46" s="252">
        <f>0.75*3100</f>
        <v>2325</v>
      </c>
      <c r="H46" s="252">
        <v>2720</v>
      </c>
      <c r="I46" s="1354">
        <v>2720</v>
      </c>
      <c r="J46" s="122"/>
    </row>
    <row r="47" spans="2:10" ht="15.75" customHeight="1" thickBot="1">
      <c r="B47" s="258" t="s">
        <v>176</v>
      </c>
      <c r="C47" s="259" t="s">
        <v>248</v>
      </c>
      <c r="D47" s="259" t="s">
        <v>1459</v>
      </c>
      <c r="E47" s="1571" t="s">
        <v>1144</v>
      </c>
      <c r="F47" s="859">
        <v>0</v>
      </c>
      <c r="G47" s="859">
        <v>0</v>
      </c>
      <c r="H47" s="859">
        <v>646</v>
      </c>
      <c r="I47" s="1414">
        <v>646</v>
      </c>
      <c r="J47" s="122"/>
    </row>
    <row r="48" spans="2:10" ht="15.75" customHeight="1" thickBot="1">
      <c r="B48" s="258" t="s">
        <v>276</v>
      </c>
      <c r="C48" s="259" t="s">
        <v>248</v>
      </c>
      <c r="D48" s="259" t="s">
        <v>1460</v>
      </c>
      <c r="E48" s="1571" t="s">
        <v>1451</v>
      </c>
      <c r="F48" s="859">
        <v>0</v>
      </c>
      <c r="G48" s="859">
        <v>0</v>
      </c>
      <c r="H48" s="859">
        <v>1000</v>
      </c>
      <c r="I48" s="1414">
        <v>1000</v>
      </c>
      <c r="J48" s="122"/>
    </row>
    <row r="49" spans="1:11" ht="15.75" customHeight="1" thickBot="1">
      <c r="B49" s="258" t="s">
        <v>1201</v>
      </c>
      <c r="C49" s="259" t="s">
        <v>248</v>
      </c>
      <c r="D49" s="259" t="s">
        <v>1461</v>
      </c>
      <c r="E49" s="1571" t="s">
        <v>1452</v>
      </c>
      <c r="F49" s="859">
        <v>0</v>
      </c>
      <c r="G49" s="859">
        <v>0</v>
      </c>
      <c r="H49" s="859">
        <v>1000</v>
      </c>
      <c r="I49" s="1414">
        <v>1000</v>
      </c>
      <c r="J49" s="122"/>
    </row>
    <row r="50" spans="1:11" ht="15.75" customHeight="1" thickBot="1">
      <c r="B50" s="258" t="s">
        <v>1454</v>
      </c>
      <c r="C50" s="259" t="s">
        <v>248</v>
      </c>
      <c r="D50" s="259" t="s">
        <v>1462</v>
      </c>
      <c r="E50" s="939" t="s">
        <v>1195</v>
      </c>
      <c r="F50" s="859">
        <v>0</v>
      </c>
      <c r="G50" s="859">
        <v>0</v>
      </c>
      <c r="H50" s="859">
        <v>5355</v>
      </c>
      <c r="I50" s="1414">
        <v>5355</v>
      </c>
      <c r="J50" s="122"/>
    </row>
    <row r="51" spans="1:11" ht="15.75" customHeight="1" thickBot="1">
      <c r="B51" s="254">
        <v>2212</v>
      </c>
      <c r="C51" s="830">
        <v>6121</v>
      </c>
      <c r="D51" s="830" t="s">
        <v>1207</v>
      </c>
      <c r="E51" s="952" t="s">
        <v>275</v>
      </c>
      <c r="F51" s="244">
        <v>1875</v>
      </c>
      <c r="G51" s="244">
        <v>1875</v>
      </c>
      <c r="H51" s="244">
        <v>1360</v>
      </c>
      <c r="I51" s="1415">
        <v>1360</v>
      </c>
      <c r="J51" s="122"/>
    </row>
    <row r="52" spans="1:11" ht="15.75" customHeight="1" thickBot="1">
      <c r="B52" s="245">
        <v>3699</v>
      </c>
      <c r="C52" s="255">
        <v>6121</v>
      </c>
      <c r="D52" s="255">
        <v>3510</v>
      </c>
      <c r="E52" s="823" t="s">
        <v>247</v>
      </c>
      <c r="F52" s="252">
        <v>1500</v>
      </c>
      <c r="G52" s="252">
        <v>1500</v>
      </c>
      <c r="H52" s="252">
        <v>1190</v>
      </c>
      <c r="I52" s="1354">
        <v>1190</v>
      </c>
      <c r="J52" s="122"/>
    </row>
    <row r="53" spans="1:11" ht="15.75" customHeight="1" thickBot="1">
      <c r="B53" s="254" t="s">
        <v>238</v>
      </c>
      <c r="C53" s="259" t="s">
        <v>248</v>
      </c>
      <c r="D53" s="259" t="s">
        <v>1206</v>
      </c>
      <c r="E53" s="939" t="s">
        <v>286</v>
      </c>
      <c r="F53" s="859">
        <f>0.75*1000</f>
        <v>750</v>
      </c>
      <c r="G53" s="859">
        <f>0.75*1000</f>
        <v>750</v>
      </c>
      <c r="H53" s="859">
        <v>425</v>
      </c>
      <c r="I53" s="1414">
        <f>425+300</f>
        <v>725</v>
      </c>
      <c r="J53" s="971"/>
    </row>
    <row r="54" spans="1:11" ht="15.75" customHeight="1" thickBot="1">
      <c r="B54" s="829">
        <v>3699</v>
      </c>
      <c r="C54" s="255">
        <v>6121</v>
      </c>
      <c r="D54" s="255">
        <v>3598</v>
      </c>
      <c r="E54" s="823" t="s">
        <v>251</v>
      </c>
      <c r="F54" s="252">
        <v>4000</v>
      </c>
      <c r="G54" s="252">
        <v>4000</v>
      </c>
      <c r="H54" s="252">
        <v>1700</v>
      </c>
      <c r="I54" s="1354">
        <v>1700</v>
      </c>
    </row>
    <row r="55" spans="1:11" ht="15.75" customHeight="1" thickBot="1">
      <c r="B55" s="829" t="s">
        <v>52</v>
      </c>
      <c r="C55" s="255" t="s">
        <v>248</v>
      </c>
      <c r="D55" s="255" t="s">
        <v>1463</v>
      </c>
      <c r="E55" s="220" t="s">
        <v>1202</v>
      </c>
      <c r="F55" s="252">
        <v>0</v>
      </c>
      <c r="G55" s="252">
        <v>0</v>
      </c>
      <c r="H55" s="252">
        <v>680</v>
      </c>
      <c r="I55" s="1354">
        <v>680</v>
      </c>
      <c r="J55" s="122"/>
      <c r="K55" s="122"/>
    </row>
    <row r="56" spans="1:11" s="16" customFormat="1" ht="15.75" customHeight="1" thickBot="1">
      <c r="A56" s="209"/>
      <c r="B56" s="1884" t="s">
        <v>174</v>
      </c>
      <c r="C56" s="1884" t="s">
        <v>1189</v>
      </c>
      <c r="D56" s="1884" t="s">
        <v>1446</v>
      </c>
      <c r="E56" s="1885" t="s">
        <v>1464</v>
      </c>
      <c r="F56" s="1886">
        <v>0</v>
      </c>
      <c r="G56" s="1886">
        <v>0</v>
      </c>
      <c r="H56" s="1886">
        <f>SUM(H57:H64,H67,H70:H81)</f>
        <v>78778.75</v>
      </c>
      <c r="I56" s="1886">
        <f>SUM(I57:I64,I67,I70:I81)</f>
        <v>78778.75</v>
      </c>
      <c r="J56" s="911"/>
      <c r="K56" s="828"/>
    </row>
    <row r="57" spans="1:11" s="16" customFormat="1" ht="15.75" customHeight="1" thickTop="1" thickBot="1">
      <c r="A57" s="209"/>
      <c r="B57" s="857" t="s">
        <v>276</v>
      </c>
      <c r="C57" s="844"/>
      <c r="D57" s="844" t="s">
        <v>1465</v>
      </c>
      <c r="E57" s="1835" t="s">
        <v>1134</v>
      </c>
      <c r="F57" s="1837">
        <v>0</v>
      </c>
      <c r="G57" s="1837">
        <v>0</v>
      </c>
      <c r="H57" s="1837">
        <v>1955</v>
      </c>
      <c r="I57" s="1820">
        <v>1955</v>
      </c>
    </row>
    <row r="58" spans="1:11" s="16" customFormat="1" ht="15.75" customHeight="1" thickBot="1">
      <c r="A58" s="209">
        <v>6204</v>
      </c>
      <c r="B58" s="254" t="s">
        <v>276</v>
      </c>
      <c r="C58" s="255"/>
      <c r="D58" s="255" t="s">
        <v>1466</v>
      </c>
      <c r="E58" s="1836" t="s">
        <v>1133</v>
      </c>
      <c r="F58" s="1838">
        <v>0</v>
      </c>
      <c r="G58" s="1838">
        <v>0</v>
      </c>
      <c r="H58" s="1838">
        <v>765</v>
      </c>
      <c r="I58" s="1822">
        <v>765</v>
      </c>
    </row>
    <row r="59" spans="1:11" s="16" customFormat="1" ht="15.75" customHeight="1" thickBot="1">
      <c r="A59" s="209"/>
      <c r="B59" s="254" t="s">
        <v>276</v>
      </c>
      <c r="C59" s="255"/>
      <c r="D59" s="255" t="s">
        <v>1467</v>
      </c>
      <c r="E59" s="879" t="s">
        <v>1142</v>
      </c>
      <c r="F59" s="1839">
        <v>0</v>
      </c>
      <c r="G59" s="1839">
        <f>9500-840</f>
        <v>8660</v>
      </c>
      <c r="H59" s="1839">
        <v>1785</v>
      </c>
      <c r="I59" s="1840">
        <v>1785</v>
      </c>
    </row>
    <row r="60" spans="1:11" s="16" customFormat="1" ht="15.75" customHeight="1" thickBot="1">
      <c r="A60" s="209">
        <v>615</v>
      </c>
      <c r="B60" s="254" t="s">
        <v>52</v>
      </c>
      <c r="C60" s="255"/>
      <c r="D60" s="255" t="s">
        <v>1468</v>
      </c>
      <c r="E60" s="868" t="s">
        <v>1198</v>
      </c>
      <c r="F60" s="1838">
        <v>0</v>
      </c>
      <c r="G60" s="1838">
        <v>0</v>
      </c>
      <c r="H60" s="1838">
        <v>3570</v>
      </c>
      <c r="I60" s="1822">
        <v>3570</v>
      </c>
    </row>
    <row r="61" spans="1:11" s="256" customFormat="1" ht="15.75" customHeight="1" thickBot="1">
      <c r="A61" s="108"/>
      <c r="B61" s="254" t="s">
        <v>229</v>
      </c>
      <c r="C61" s="255"/>
      <c r="D61" s="255" t="s">
        <v>1469</v>
      </c>
      <c r="E61" s="219" t="s">
        <v>289</v>
      </c>
      <c r="F61" s="1838">
        <v>500</v>
      </c>
      <c r="G61" s="1838">
        <v>500</v>
      </c>
      <c r="H61" s="1838">
        <v>1000</v>
      </c>
      <c r="I61" s="1822">
        <v>1000</v>
      </c>
    </row>
    <row r="62" spans="1:11" s="256" customFormat="1" ht="15.75" customHeight="1" thickBot="1">
      <c r="A62" s="108"/>
      <c r="B62" s="254" t="s">
        <v>229</v>
      </c>
      <c r="C62" s="255"/>
      <c r="D62" s="255" t="s">
        <v>1470</v>
      </c>
      <c r="E62" s="219" t="s">
        <v>291</v>
      </c>
      <c r="F62" s="1838">
        <v>500</v>
      </c>
      <c r="G62" s="1838">
        <v>500</v>
      </c>
      <c r="H62" s="1838">
        <v>1000</v>
      </c>
      <c r="I62" s="1822">
        <v>1000</v>
      </c>
    </row>
    <row r="63" spans="1:11" s="256" customFormat="1" ht="15.75" customHeight="1" thickBot="1">
      <c r="A63" s="108"/>
      <c r="B63" s="254" t="s">
        <v>229</v>
      </c>
      <c r="C63" s="255"/>
      <c r="D63" s="255" t="s">
        <v>1471</v>
      </c>
      <c r="E63" s="219" t="s">
        <v>1136</v>
      </c>
      <c r="F63" s="1838">
        <v>0</v>
      </c>
      <c r="G63" s="1838">
        <v>0</v>
      </c>
      <c r="H63" s="1838">
        <v>1020</v>
      </c>
      <c r="I63" s="1822">
        <v>1020</v>
      </c>
    </row>
    <row r="64" spans="1:11" s="256" customFormat="1" ht="15.75" customHeight="1" thickBot="1">
      <c r="A64" s="108"/>
      <c r="B64" s="1766" t="s">
        <v>229</v>
      </c>
      <c r="C64" s="1767"/>
      <c r="D64" s="1767" t="s">
        <v>1472</v>
      </c>
      <c r="E64" s="1834" t="s">
        <v>296</v>
      </c>
      <c r="F64" s="1838">
        <f>0.75*17100</f>
        <v>12825</v>
      </c>
      <c r="G64" s="1838">
        <f>0.75*17100</f>
        <v>12825</v>
      </c>
      <c r="H64" s="1838">
        <v>9668.75</v>
      </c>
      <c r="I64" s="1822">
        <v>9668.75</v>
      </c>
    </row>
    <row r="65" spans="1:9" s="256" customFormat="1" ht="15.75" customHeight="1" thickBot="1">
      <c r="A65" s="108"/>
      <c r="B65" s="1762" t="s">
        <v>229</v>
      </c>
      <c r="C65" s="257" t="s">
        <v>248</v>
      </c>
      <c r="D65" s="257" t="s">
        <v>1472</v>
      </c>
      <c r="E65" s="1832" t="s">
        <v>1524</v>
      </c>
      <c r="F65" s="1833">
        <v>0</v>
      </c>
      <c r="G65" s="1833"/>
      <c r="H65" s="1833">
        <v>0</v>
      </c>
      <c r="I65" s="1399">
        <v>12506</v>
      </c>
    </row>
    <row r="66" spans="1:9" s="256" customFormat="1" ht="15.75" customHeight="1" thickBot="1">
      <c r="A66" s="108"/>
      <c r="B66" s="2029" t="s">
        <v>296</v>
      </c>
      <c r="C66" s="2030"/>
      <c r="D66" s="2030"/>
      <c r="E66" s="2031"/>
      <c r="F66" s="883">
        <f>SUM(F64:F65)</f>
        <v>12825</v>
      </c>
      <c r="G66" s="883">
        <f t="shared" ref="G66:I66" si="2">SUM(G64:G65)</f>
        <v>12825</v>
      </c>
      <c r="H66" s="883">
        <f t="shared" si="2"/>
        <v>9668.75</v>
      </c>
      <c r="I66" s="1398">
        <f t="shared" si="2"/>
        <v>22174.75</v>
      </c>
    </row>
    <row r="67" spans="1:9" s="256" customFormat="1" ht="15.75" customHeight="1" thickBot="1">
      <c r="A67" s="108"/>
      <c r="B67" s="1766" t="s">
        <v>229</v>
      </c>
      <c r="C67" s="1767"/>
      <c r="D67" s="1767" t="s">
        <v>1473</v>
      </c>
      <c r="E67" s="1834" t="s">
        <v>297</v>
      </c>
      <c r="F67" s="1838">
        <v>18400</v>
      </c>
      <c r="G67" s="1838">
        <v>18400</v>
      </c>
      <c r="H67" s="1838">
        <v>18530</v>
      </c>
      <c r="I67" s="1822">
        <v>18530</v>
      </c>
    </row>
    <row r="68" spans="1:9" s="256" customFormat="1" ht="15.75" customHeight="1" thickBot="1">
      <c r="A68" s="108"/>
      <c r="B68" s="101" t="s">
        <v>229</v>
      </c>
      <c r="C68" s="137" t="s">
        <v>248</v>
      </c>
      <c r="D68" s="137" t="s">
        <v>1473</v>
      </c>
      <c r="E68" s="1830" t="s">
        <v>1516</v>
      </c>
      <c r="F68" s="1831">
        <v>0</v>
      </c>
      <c r="G68" s="1831">
        <v>0</v>
      </c>
      <c r="H68" s="1831">
        <v>0</v>
      </c>
      <c r="I68" s="1353">
        <v>7557</v>
      </c>
    </row>
    <row r="69" spans="1:9" s="256" customFormat="1" ht="15.75" customHeight="1" thickBot="1">
      <c r="A69" s="108"/>
      <c r="B69" s="2029" t="s">
        <v>297</v>
      </c>
      <c r="C69" s="2030"/>
      <c r="D69" s="2030"/>
      <c r="E69" s="2031"/>
      <c r="F69" s="883">
        <f>SUM(F67:F68)</f>
        <v>18400</v>
      </c>
      <c r="G69" s="883">
        <f t="shared" ref="G69:I69" si="3">SUM(G67:G68)</f>
        <v>18400</v>
      </c>
      <c r="H69" s="883">
        <f t="shared" si="3"/>
        <v>18530</v>
      </c>
      <c r="I69" s="1398">
        <f t="shared" si="3"/>
        <v>26087</v>
      </c>
    </row>
    <row r="70" spans="1:9" s="256" customFormat="1" ht="15.75" customHeight="1" thickBot="1">
      <c r="A70" s="108"/>
      <c r="B70" s="254" t="s">
        <v>229</v>
      </c>
      <c r="C70" s="255"/>
      <c r="D70" s="255" t="s">
        <v>1474</v>
      </c>
      <c r="E70" s="219" t="s">
        <v>1174</v>
      </c>
      <c r="F70" s="1838">
        <v>0</v>
      </c>
      <c r="G70" s="1838">
        <v>0</v>
      </c>
      <c r="H70" s="1838">
        <v>1785</v>
      </c>
      <c r="I70" s="1822">
        <v>1785</v>
      </c>
    </row>
    <row r="71" spans="1:9" s="256" customFormat="1" ht="15.75" customHeight="1" thickBot="1">
      <c r="A71" s="108"/>
      <c r="B71" s="254" t="s">
        <v>229</v>
      </c>
      <c r="C71" s="255"/>
      <c r="D71" s="255" t="s">
        <v>1475</v>
      </c>
      <c r="E71" s="219" t="s">
        <v>1137</v>
      </c>
      <c r="F71" s="1838">
        <v>0</v>
      </c>
      <c r="G71" s="1838">
        <v>0</v>
      </c>
      <c r="H71" s="1838">
        <v>1360</v>
      </c>
      <c r="I71" s="1822">
        <v>1360</v>
      </c>
    </row>
    <row r="72" spans="1:9" s="256" customFormat="1" ht="15.75" customHeight="1" thickBot="1">
      <c r="A72" s="108"/>
      <c r="B72" s="254" t="s">
        <v>229</v>
      </c>
      <c r="C72" s="255"/>
      <c r="D72" s="255" t="s">
        <v>1476</v>
      </c>
      <c r="E72" s="219" t="s">
        <v>1139</v>
      </c>
      <c r="F72" s="1838">
        <v>0</v>
      </c>
      <c r="G72" s="1838">
        <v>0</v>
      </c>
      <c r="H72" s="1838">
        <v>255</v>
      </c>
      <c r="I72" s="1822">
        <v>255</v>
      </c>
    </row>
    <row r="73" spans="1:9" s="256" customFormat="1" ht="15.75" customHeight="1" thickBot="1">
      <c r="A73" s="108"/>
      <c r="B73" s="254" t="s">
        <v>229</v>
      </c>
      <c r="C73" s="255"/>
      <c r="D73" s="255" t="s">
        <v>1477</v>
      </c>
      <c r="E73" s="219" t="s">
        <v>1138</v>
      </c>
      <c r="F73" s="1838">
        <v>0</v>
      </c>
      <c r="G73" s="1838">
        <v>0</v>
      </c>
      <c r="H73" s="1838">
        <v>1615</v>
      </c>
      <c r="I73" s="1822">
        <v>1615</v>
      </c>
    </row>
    <row r="74" spans="1:9" s="256" customFormat="1" ht="15.75" customHeight="1" thickBot="1">
      <c r="A74" s="108"/>
      <c r="B74" s="254" t="s">
        <v>229</v>
      </c>
      <c r="C74" s="255"/>
      <c r="D74" s="255" t="s">
        <v>1478</v>
      </c>
      <c r="E74" s="219" t="s">
        <v>1140</v>
      </c>
      <c r="F74" s="1838">
        <v>0</v>
      </c>
      <c r="G74" s="1838">
        <v>0</v>
      </c>
      <c r="H74" s="1838">
        <v>1000</v>
      </c>
      <c r="I74" s="1822">
        <v>1000</v>
      </c>
    </row>
    <row r="75" spans="1:9" s="256" customFormat="1" ht="15.75" customHeight="1" thickBot="1">
      <c r="A75" s="108"/>
      <c r="B75" s="254" t="s">
        <v>229</v>
      </c>
      <c r="C75" s="255"/>
      <c r="D75" s="255" t="s">
        <v>1479</v>
      </c>
      <c r="E75" s="219" t="s">
        <v>1141</v>
      </c>
      <c r="F75" s="1838">
        <v>0</v>
      </c>
      <c r="G75" s="1838">
        <v>0</v>
      </c>
      <c r="H75" s="1838">
        <v>2465</v>
      </c>
      <c r="I75" s="1822">
        <v>2465</v>
      </c>
    </row>
    <row r="76" spans="1:9" s="256" customFormat="1" ht="15.75" customHeight="1" thickBot="1">
      <c r="A76" s="108"/>
      <c r="B76" s="254" t="s">
        <v>1206</v>
      </c>
      <c r="C76" s="255"/>
      <c r="D76" s="255" t="s">
        <v>1480</v>
      </c>
      <c r="E76" s="219" t="s">
        <v>1173</v>
      </c>
      <c r="F76" s="1838">
        <v>0</v>
      </c>
      <c r="G76" s="1838">
        <v>0</v>
      </c>
      <c r="H76" s="1838">
        <v>935</v>
      </c>
      <c r="I76" s="1822">
        <v>935</v>
      </c>
    </row>
    <row r="77" spans="1:9" s="256" customFormat="1" ht="15.75" customHeight="1" thickBot="1">
      <c r="A77" s="108"/>
      <c r="B77" s="254" t="s">
        <v>277</v>
      </c>
      <c r="C77" s="255"/>
      <c r="D77" s="255" t="s">
        <v>1481</v>
      </c>
      <c r="E77" s="219" t="s">
        <v>1143</v>
      </c>
      <c r="F77" s="1838">
        <v>0</v>
      </c>
      <c r="G77" s="1838">
        <v>0</v>
      </c>
      <c r="H77" s="1838">
        <v>3910</v>
      </c>
      <c r="I77" s="1822">
        <v>3910</v>
      </c>
    </row>
    <row r="78" spans="1:9" s="256" customFormat="1" ht="13.5" customHeight="1" thickBot="1">
      <c r="A78" s="108"/>
      <c r="B78" s="254" t="s">
        <v>176</v>
      </c>
      <c r="C78" s="255"/>
      <c r="D78" s="255" t="s">
        <v>1482</v>
      </c>
      <c r="E78" s="219" t="s">
        <v>1145</v>
      </c>
      <c r="F78" s="1838">
        <v>0</v>
      </c>
      <c r="G78" s="1838">
        <v>0</v>
      </c>
      <c r="H78" s="1838">
        <v>6035</v>
      </c>
      <c r="I78" s="1822">
        <v>6035</v>
      </c>
    </row>
    <row r="79" spans="1:9" s="256" customFormat="1" ht="13.5" customHeight="1" thickBot="1">
      <c r="A79" s="108"/>
      <c r="B79" s="254" t="s">
        <v>176</v>
      </c>
      <c r="C79" s="255"/>
      <c r="D79" s="255" t="s">
        <v>1483</v>
      </c>
      <c r="E79" s="219" t="s">
        <v>1146</v>
      </c>
      <c r="F79" s="1838">
        <v>0</v>
      </c>
      <c r="G79" s="1838">
        <v>0</v>
      </c>
      <c r="H79" s="1838">
        <v>4590</v>
      </c>
      <c r="I79" s="1822">
        <v>4590</v>
      </c>
    </row>
    <row r="80" spans="1:9" s="256" customFormat="1" ht="15.75" customHeight="1" thickBot="1">
      <c r="A80" s="108"/>
      <c r="B80" s="254" t="s">
        <v>176</v>
      </c>
      <c r="C80" s="255"/>
      <c r="D80" s="255" t="s">
        <v>1484</v>
      </c>
      <c r="E80" s="1735" t="s">
        <v>300</v>
      </c>
      <c r="F80" s="1838">
        <v>1000</v>
      </c>
      <c r="G80" s="1838">
        <v>1000</v>
      </c>
      <c r="H80" s="1838">
        <v>5950</v>
      </c>
      <c r="I80" s="1822">
        <v>5950</v>
      </c>
    </row>
    <row r="81" spans="1:9" s="256" customFormat="1" ht="15.75" customHeight="1" thickBot="1">
      <c r="A81" s="108"/>
      <c r="B81" s="260" t="s">
        <v>180</v>
      </c>
      <c r="C81" s="261"/>
      <c r="D81" s="261" t="s">
        <v>1485</v>
      </c>
      <c r="E81" s="1422" t="s">
        <v>1147</v>
      </c>
      <c r="F81" s="1841">
        <v>0</v>
      </c>
      <c r="G81" s="1841">
        <v>0</v>
      </c>
      <c r="H81" s="1841">
        <f>8585+1000</f>
        <v>9585</v>
      </c>
      <c r="I81" s="1824">
        <f>8585+1000</f>
        <v>9585</v>
      </c>
    </row>
    <row r="82" spans="1:9" s="296" customFormat="1" ht="6" customHeight="1" thickTop="1" thickBot="1">
      <c r="A82" s="595"/>
      <c r="B82" s="903"/>
      <c r="C82" s="903"/>
      <c r="D82" s="903"/>
      <c r="E82" s="904"/>
      <c r="F82" s="504"/>
      <c r="G82" s="504"/>
      <c r="H82" s="504"/>
      <c r="I82" s="504"/>
    </row>
    <row r="83" spans="1:9" s="256" customFormat="1" ht="15.75" customHeight="1" thickTop="1" thickBot="1">
      <c r="A83" s="108"/>
      <c r="B83" s="906">
        <v>2219</v>
      </c>
      <c r="C83" s="907" t="s">
        <v>248</v>
      </c>
      <c r="D83" s="907">
        <v>3552</v>
      </c>
      <c r="E83" s="908" t="s">
        <v>234</v>
      </c>
      <c r="F83" s="783">
        <v>400</v>
      </c>
      <c r="G83" s="783">
        <f>400-400</f>
        <v>0</v>
      </c>
      <c r="H83" s="783">
        <v>0</v>
      </c>
      <c r="I83" s="1397">
        <v>0</v>
      </c>
    </row>
    <row r="84" spans="1:9" s="256" customFormat="1" ht="15.75" customHeight="1" thickBot="1">
      <c r="A84" s="108"/>
      <c r="B84" s="260">
        <v>2333</v>
      </c>
      <c r="C84" s="261" t="s">
        <v>248</v>
      </c>
      <c r="D84" s="261">
        <v>3553</v>
      </c>
      <c r="E84" s="860" t="s">
        <v>302</v>
      </c>
      <c r="F84" s="262">
        <v>1300</v>
      </c>
      <c r="G84" s="262">
        <v>1300</v>
      </c>
      <c r="H84" s="262">
        <v>0</v>
      </c>
      <c r="I84" s="1356">
        <v>1287</v>
      </c>
    </row>
    <row r="85" spans="1:9" s="256" customFormat="1" ht="15.75" customHeight="1" thickTop="1" thickBot="1">
      <c r="A85" s="108"/>
      <c r="B85" s="857">
        <v>3741</v>
      </c>
      <c r="C85" s="844" t="s">
        <v>248</v>
      </c>
      <c r="D85" s="844">
        <v>3554</v>
      </c>
      <c r="E85" s="905" t="s">
        <v>303</v>
      </c>
      <c r="F85" s="498">
        <v>348</v>
      </c>
      <c r="G85" s="498">
        <v>348</v>
      </c>
      <c r="H85" s="498">
        <v>0</v>
      </c>
      <c r="I85" s="1417">
        <v>348</v>
      </c>
    </row>
    <row r="86" spans="1:9" s="256" customFormat="1" ht="15.75" customHeight="1" thickBot="1">
      <c r="A86" s="108"/>
      <c r="B86" s="101" t="s">
        <v>278</v>
      </c>
      <c r="C86" s="137" t="s">
        <v>248</v>
      </c>
      <c r="D86" s="137" t="s">
        <v>304</v>
      </c>
      <c r="E86" s="818" t="s">
        <v>305</v>
      </c>
      <c r="F86" s="779">
        <v>0</v>
      </c>
      <c r="G86" s="779">
        <v>7000</v>
      </c>
      <c r="H86" s="779">
        <v>0</v>
      </c>
      <c r="I86" s="1337">
        <v>0</v>
      </c>
    </row>
    <row r="87" spans="1:9" s="256" customFormat="1" ht="15.75" customHeight="1" thickBot="1">
      <c r="A87" s="108"/>
      <c r="B87" s="101" t="s">
        <v>278</v>
      </c>
      <c r="C87" s="137" t="s">
        <v>248</v>
      </c>
      <c r="D87" s="137" t="s">
        <v>304</v>
      </c>
      <c r="E87" s="819" t="s">
        <v>306</v>
      </c>
      <c r="F87" s="820">
        <v>0</v>
      </c>
      <c r="G87" s="820">
        <v>5000</v>
      </c>
      <c r="H87" s="820">
        <v>0</v>
      </c>
      <c r="I87" s="1418">
        <v>16000</v>
      </c>
    </row>
    <row r="88" spans="1:9" s="256" customFormat="1" ht="15.75" customHeight="1" thickBot="1">
      <c r="A88" s="108"/>
      <c r="B88" s="2032" t="s">
        <v>306</v>
      </c>
      <c r="C88" s="2033"/>
      <c r="D88" s="2033"/>
      <c r="E88" s="2034"/>
      <c r="F88" s="252">
        <f>SUM(F86:F87)</f>
        <v>0</v>
      </c>
      <c r="G88" s="252">
        <f>SUM(G86:G87)</f>
        <v>12000</v>
      </c>
      <c r="H88" s="252">
        <f>SUM(H86:H87)</f>
        <v>0</v>
      </c>
      <c r="I88" s="1354">
        <f>SUM(I86:I87)</f>
        <v>16000</v>
      </c>
    </row>
    <row r="89" spans="1:9" s="256" customFormat="1" ht="15.75" customHeight="1" thickBot="1">
      <c r="A89" s="108"/>
      <c r="B89" s="254" t="s">
        <v>277</v>
      </c>
      <c r="C89" s="255" t="s">
        <v>307</v>
      </c>
      <c r="D89" s="255" t="s">
        <v>308</v>
      </c>
      <c r="E89" s="220" t="s">
        <v>309</v>
      </c>
      <c r="F89" s="252">
        <v>0</v>
      </c>
      <c r="G89" s="252">
        <v>13370</v>
      </c>
      <c r="H89" s="252">
        <v>0</v>
      </c>
      <c r="I89" s="1354">
        <v>1822</v>
      </c>
    </row>
    <row r="90" spans="1:9" s="256" customFormat="1" ht="15.75" customHeight="1" thickBot="1">
      <c r="A90" s="108"/>
      <c r="B90" s="101" t="s">
        <v>180</v>
      </c>
      <c r="C90" s="137" t="s">
        <v>248</v>
      </c>
      <c r="D90" s="137" t="s">
        <v>310</v>
      </c>
      <c r="E90" s="818" t="s">
        <v>311</v>
      </c>
      <c r="F90" s="779">
        <v>0</v>
      </c>
      <c r="G90" s="779">
        <v>4160</v>
      </c>
      <c r="H90" s="779">
        <v>0</v>
      </c>
      <c r="I90" s="1337">
        <v>0</v>
      </c>
    </row>
    <row r="91" spans="1:9" s="256" customFormat="1" ht="15.75" customHeight="1" thickBot="1">
      <c r="A91" s="108"/>
      <c r="B91" s="101" t="s">
        <v>180</v>
      </c>
      <c r="C91" s="137" t="s">
        <v>248</v>
      </c>
      <c r="D91" s="137" t="s">
        <v>310</v>
      </c>
      <c r="E91" s="819" t="s">
        <v>312</v>
      </c>
      <c r="F91" s="820">
        <v>0</v>
      </c>
      <c r="G91" s="820">
        <v>150</v>
      </c>
      <c r="H91" s="820">
        <v>0</v>
      </c>
      <c r="I91" s="1418">
        <v>0</v>
      </c>
    </row>
    <row r="92" spans="1:9" s="256" customFormat="1" ht="15.75" customHeight="1" thickBot="1">
      <c r="A92" s="108"/>
      <c r="B92" s="2032" t="s">
        <v>313</v>
      </c>
      <c r="C92" s="2033"/>
      <c r="D92" s="2033"/>
      <c r="E92" s="2034"/>
      <c r="F92" s="252">
        <f>SUM(F90:F91)</f>
        <v>0</v>
      </c>
      <c r="G92" s="252">
        <f>SUM(G90:G91)</f>
        <v>4310</v>
      </c>
      <c r="H92" s="252">
        <f>SUM(H90:H91)</f>
        <v>0</v>
      </c>
      <c r="I92" s="1354">
        <f>SUM(I90:I91)</f>
        <v>0</v>
      </c>
    </row>
    <row r="93" spans="1:9" s="256" customFormat="1" ht="15.75" customHeight="1" thickBot="1">
      <c r="A93" s="108"/>
      <c r="B93" s="254" t="s">
        <v>276</v>
      </c>
      <c r="C93" s="255" t="s">
        <v>248</v>
      </c>
      <c r="D93" s="255" t="s">
        <v>314</v>
      </c>
      <c r="E93" s="220" t="s">
        <v>315</v>
      </c>
      <c r="F93" s="252">
        <v>0</v>
      </c>
      <c r="G93" s="252">
        <v>3200</v>
      </c>
      <c r="H93" s="252">
        <v>0</v>
      </c>
      <c r="I93" s="1354">
        <v>3131</v>
      </c>
    </row>
    <row r="94" spans="1:9" s="256" customFormat="1" ht="15.75" customHeight="1" thickBot="1">
      <c r="A94" s="108"/>
      <c r="B94" s="258" t="s">
        <v>180</v>
      </c>
      <c r="C94" s="259" t="s">
        <v>248</v>
      </c>
      <c r="D94" s="259" t="s">
        <v>316</v>
      </c>
      <c r="E94" s="858" t="s">
        <v>317</v>
      </c>
      <c r="F94" s="859">
        <v>0</v>
      </c>
      <c r="G94" s="859">
        <v>2780</v>
      </c>
      <c r="H94" s="859">
        <v>0</v>
      </c>
      <c r="I94" s="1414">
        <v>0</v>
      </c>
    </row>
    <row r="95" spans="1:9" s="256" customFormat="1" ht="15.75" customHeight="1" thickBot="1">
      <c r="A95" s="108"/>
      <c r="B95" s="260" t="s">
        <v>180</v>
      </c>
      <c r="C95" s="261" t="s">
        <v>248</v>
      </c>
      <c r="D95" s="261" t="s">
        <v>318</v>
      </c>
      <c r="E95" s="860" t="s">
        <v>319</v>
      </c>
      <c r="F95" s="262">
        <v>0</v>
      </c>
      <c r="G95" s="262">
        <v>2340</v>
      </c>
      <c r="H95" s="262">
        <v>0</v>
      </c>
      <c r="I95" s="1356">
        <v>0</v>
      </c>
    </row>
    <row r="96" spans="1:9" s="256" customFormat="1" ht="15.75" customHeight="1" thickTop="1" thickBot="1">
      <c r="A96" s="108"/>
      <c r="B96" s="254" t="s">
        <v>238</v>
      </c>
      <c r="C96" s="255" t="s">
        <v>248</v>
      </c>
      <c r="D96" s="255" t="s">
        <v>249</v>
      </c>
      <c r="E96" s="861" t="s">
        <v>250</v>
      </c>
      <c r="F96" s="244">
        <v>0</v>
      </c>
      <c r="G96" s="244">
        <v>500</v>
      </c>
      <c r="H96" s="244">
        <v>0</v>
      </c>
      <c r="I96" s="1419">
        <v>0</v>
      </c>
    </row>
    <row r="97" spans="1:20" s="256" customFormat="1" ht="15.75" customHeight="1" thickBot="1">
      <c r="A97" s="108"/>
      <c r="B97" s="862" t="s">
        <v>260</v>
      </c>
      <c r="C97" s="863" t="s">
        <v>248</v>
      </c>
      <c r="D97" s="863" t="s">
        <v>261</v>
      </c>
      <c r="E97" s="864" t="s">
        <v>1149</v>
      </c>
      <c r="F97" s="865">
        <v>0</v>
      </c>
      <c r="G97" s="865">
        <v>14850</v>
      </c>
      <c r="H97" s="865">
        <v>0</v>
      </c>
      <c r="I97" s="1420">
        <v>0</v>
      </c>
    </row>
    <row r="98" spans="1:20" s="256" customFormat="1" ht="15.75" customHeight="1" thickBot="1">
      <c r="A98" s="108"/>
      <c r="B98" s="254" t="s">
        <v>238</v>
      </c>
      <c r="C98" s="255" t="s">
        <v>248</v>
      </c>
      <c r="D98" s="255" t="s">
        <v>258</v>
      </c>
      <c r="E98" s="866" t="s">
        <v>259</v>
      </c>
      <c r="F98" s="244">
        <v>0</v>
      </c>
      <c r="G98" s="244">
        <v>874</v>
      </c>
      <c r="H98" s="244">
        <v>0</v>
      </c>
      <c r="I98" s="1419">
        <v>0</v>
      </c>
    </row>
    <row r="99" spans="1:20" s="256" customFormat="1" ht="15.75" customHeight="1" thickBot="1">
      <c r="A99" s="108"/>
      <c r="B99" s="254" t="s">
        <v>238</v>
      </c>
      <c r="C99" s="255" t="s">
        <v>248</v>
      </c>
      <c r="D99" s="255" t="s">
        <v>279</v>
      </c>
      <c r="E99" s="867" t="s">
        <v>1177</v>
      </c>
      <c r="F99" s="244">
        <v>0</v>
      </c>
      <c r="G99" s="244">
        <v>16315</v>
      </c>
      <c r="H99" s="244">
        <v>0</v>
      </c>
      <c r="I99" s="1419">
        <v>4434</v>
      </c>
    </row>
    <row r="100" spans="1:20" s="256" customFormat="1" ht="15.75" customHeight="1" thickBot="1">
      <c r="A100" s="108"/>
      <c r="B100" s="254" t="s">
        <v>238</v>
      </c>
      <c r="C100" s="255" t="s">
        <v>248</v>
      </c>
      <c r="D100" s="255" t="s">
        <v>280</v>
      </c>
      <c r="E100" s="868" t="s">
        <v>281</v>
      </c>
      <c r="F100" s="869">
        <v>0</v>
      </c>
      <c r="G100" s="869">
        <v>4959</v>
      </c>
      <c r="H100" s="869">
        <v>0</v>
      </c>
      <c r="I100" s="1421">
        <v>7102</v>
      </c>
    </row>
    <row r="101" spans="1:20" s="256" customFormat="1" ht="15.75" customHeight="1" thickBot="1">
      <c r="A101" s="108"/>
      <c r="B101" s="254" t="s">
        <v>238</v>
      </c>
      <c r="C101" s="255" t="s">
        <v>248</v>
      </c>
      <c r="D101" s="255" t="s">
        <v>282</v>
      </c>
      <c r="E101" s="868" t="s">
        <v>283</v>
      </c>
      <c r="F101" s="869">
        <v>0</v>
      </c>
      <c r="G101" s="869">
        <v>3500</v>
      </c>
      <c r="H101" s="869">
        <v>0</v>
      </c>
      <c r="I101" s="1421">
        <v>0</v>
      </c>
    </row>
    <row r="102" spans="1:20" s="256" customFormat="1" ht="15.75" customHeight="1" thickBot="1">
      <c r="A102" s="108"/>
      <c r="B102" s="254" t="s">
        <v>238</v>
      </c>
      <c r="C102" s="255" t="s">
        <v>248</v>
      </c>
      <c r="D102" s="255" t="s">
        <v>284</v>
      </c>
      <c r="E102" s="868" t="s">
        <v>285</v>
      </c>
      <c r="F102" s="498">
        <v>7700</v>
      </c>
      <c r="G102" s="498">
        <v>7700</v>
      </c>
      <c r="H102" s="498">
        <v>0</v>
      </c>
      <c r="I102" s="1417">
        <v>7700</v>
      </c>
    </row>
    <row r="103" spans="1:20" s="256" customFormat="1" ht="15.75" customHeight="1" thickBot="1">
      <c r="A103" s="108"/>
      <c r="B103" s="254" t="s">
        <v>229</v>
      </c>
      <c r="C103" s="255" t="s">
        <v>248</v>
      </c>
      <c r="D103" s="255" t="s">
        <v>265</v>
      </c>
      <c r="E103" s="870" t="s">
        <v>266</v>
      </c>
      <c r="F103" s="244">
        <v>0</v>
      </c>
      <c r="G103" s="244">
        <v>13161.8</v>
      </c>
      <c r="H103" s="244">
        <v>0</v>
      </c>
      <c r="I103" s="1419">
        <v>0</v>
      </c>
    </row>
    <row r="104" spans="1:20" s="256" customFormat="1" ht="15.75" customHeight="1" thickBot="1">
      <c r="A104" s="108"/>
      <c r="B104" s="254" t="s">
        <v>229</v>
      </c>
      <c r="C104" s="255" t="s">
        <v>248</v>
      </c>
      <c r="D104" s="255" t="s">
        <v>267</v>
      </c>
      <c r="E104" s="870" t="s">
        <v>268</v>
      </c>
      <c r="F104" s="244">
        <v>0</v>
      </c>
      <c r="G104" s="244">
        <v>700</v>
      </c>
      <c r="H104" s="244">
        <v>0</v>
      </c>
      <c r="I104" s="1419">
        <v>0</v>
      </c>
    </row>
    <row r="105" spans="1:20" s="256" customFormat="1" ht="15.75" customHeight="1" thickBot="1">
      <c r="A105" s="108"/>
      <c r="B105" s="254" t="s">
        <v>229</v>
      </c>
      <c r="C105" s="255" t="s">
        <v>248</v>
      </c>
      <c r="D105" s="255" t="s">
        <v>269</v>
      </c>
      <c r="E105" s="870" t="s">
        <v>270</v>
      </c>
      <c r="F105" s="244">
        <v>0</v>
      </c>
      <c r="G105" s="244">
        <v>560</v>
      </c>
      <c r="H105" s="244">
        <v>0</v>
      </c>
      <c r="I105" s="1419">
        <v>0</v>
      </c>
      <c r="R105" s="824"/>
      <c r="T105" s="825">
        <v>0</v>
      </c>
    </row>
    <row r="106" spans="1:20" s="256" customFormat="1" ht="15.75" customHeight="1" thickBot="1">
      <c r="A106" s="108"/>
      <c r="B106" s="254" t="s">
        <v>229</v>
      </c>
      <c r="C106" s="255" t="s">
        <v>248</v>
      </c>
      <c r="D106" s="255" t="s">
        <v>271</v>
      </c>
      <c r="E106" s="870" t="s">
        <v>272</v>
      </c>
      <c r="F106" s="244">
        <v>0</v>
      </c>
      <c r="G106" s="244">
        <f>2823-34.06683</f>
        <v>2788.9331699999998</v>
      </c>
      <c r="H106" s="244">
        <v>0</v>
      </c>
      <c r="I106" s="1419">
        <v>0</v>
      </c>
    </row>
    <row r="107" spans="1:20" s="256" customFormat="1" ht="15.75" customHeight="1" thickBot="1">
      <c r="A107" s="108"/>
      <c r="B107" s="254" t="s">
        <v>229</v>
      </c>
      <c r="C107" s="255" t="s">
        <v>248</v>
      </c>
      <c r="D107" s="255" t="s">
        <v>273</v>
      </c>
      <c r="E107" s="871" t="s">
        <v>274</v>
      </c>
      <c r="F107" s="252">
        <v>0</v>
      </c>
      <c r="G107" s="252">
        <v>640</v>
      </c>
      <c r="H107" s="252">
        <v>0</v>
      </c>
      <c r="I107" s="1354">
        <v>0</v>
      </c>
    </row>
    <row r="108" spans="1:20" s="256" customFormat="1" ht="15.75" customHeight="1" thickBot="1">
      <c r="A108" s="108"/>
      <c r="B108" s="254" t="s">
        <v>229</v>
      </c>
      <c r="C108" s="255" t="s">
        <v>248</v>
      </c>
      <c r="D108" s="255" t="s">
        <v>287</v>
      </c>
      <c r="E108" s="867" t="s">
        <v>288</v>
      </c>
      <c r="F108" s="252">
        <v>0</v>
      </c>
      <c r="G108" s="252">
        <f>1400-151.782</f>
        <v>1248.2180000000001</v>
      </c>
      <c r="H108" s="252">
        <v>0</v>
      </c>
      <c r="I108" s="1354">
        <v>0</v>
      </c>
    </row>
    <row r="109" spans="1:20" s="256" customFormat="1" ht="15.75" customHeight="1" thickBot="1">
      <c r="A109" s="108"/>
      <c r="B109" s="254">
        <v>2219</v>
      </c>
      <c r="C109" s="255" t="s">
        <v>248</v>
      </c>
      <c r="D109" s="255">
        <v>3538</v>
      </c>
      <c r="E109" s="219" t="s">
        <v>290</v>
      </c>
      <c r="F109" s="252">
        <v>1000</v>
      </c>
      <c r="G109" s="252">
        <v>1000</v>
      </c>
      <c r="H109" s="252">
        <v>0</v>
      </c>
      <c r="I109" s="1354">
        <v>0</v>
      </c>
    </row>
    <row r="110" spans="1:20" s="256" customFormat="1" ht="15.75" customHeight="1" thickBot="1">
      <c r="A110" s="108"/>
      <c r="B110" s="254">
        <v>2212</v>
      </c>
      <c r="C110" s="255" t="s">
        <v>248</v>
      </c>
      <c r="D110" s="255">
        <v>3540</v>
      </c>
      <c r="E110" s="219" t="s">
        <v>1135</v>
      </c>
      <c r="F110" s="252">
        <f>0.75*1100</f>
        <v>825</v>
      </c>
      <c r="G110" s="252">
        <f>0.75*1100-825</f>
        <v>0</v>
      </c>
      <c r="H110" s="252">
        <v>0</v>
      </c>
      <c r="I110" s="1354">
        <v>0</v>
      </c>
    </row>
    <row r="111" spans="1:20" s="256" customFormat="1" ht="15.75" customHeight="1" thickBot="1">
      <c r="A111" s="108"/>
      <c r="B111" s="254">
        <v>2212</v>
      </c>
      <c r="C111" s="255" t="s">
        <v>248</v>
      </c>
      <c r="D111" s="255">
        <v>3541</v>
      </c>
      <c r="E111" s="219" t="s">
        <v>292</v>
      </c>
      <c r="F111" s="252">
        <v>3300</v>
      </c>
      <c r="G111" s="252">
        <v>3300</v>
      </c>
      <c r="H111" s="252">
        <v>0</v>
      </c>
      <c r="I111" s="1354">
        <v>3135</v>
      </c>
    </row>
    <row r="112" spans="1:20" s="256" customFormat="1" ht="15.75" customHeight="1" thickBot="1">
      <c r="A112" s="108"/>
      <c r="B112" s="254">
        <v>2212</v>
      </c>
      <c r="C112" s="255" t="s">
        <v>248</v>
      </c>
      <c r="D112" s="255">
        <v>3542</v>
      </c>
      <c r="E112" s="219" t="s">
        <v>293</v>
      </c>
      <c r="F112" s="252">
        <v>5500</v>
      </c>
      <c r="G112" s="252">
        <v>5500</v>
      </c>
      <c r="H112" s="252">
        <v>0</v>
      </c>
      <c r="I112" s="1354">
        <v>5500</v>
      </c>
    </row>
    <row r="113" spans="1:12" s="256" customFormat="1" ht="15.75" customHeight="1" thickBot="1">
      <c r="A113" s="108"/>
      <c r="B113" s="254">
        <v>2212</v>
      </c>
      <c r="C113" s="255" t="s">
        <v>248</v>
      </c>
      <c r="D113" s="255">
        <v>3543</v>
      </c>
      <c r="E113" s="219" t="s">
        <v>294</v>
      </c>
      <c r="F113" s="252">
        <f>0.75*5700</f>
        <v>4275</v>
      </c>
      <c r="G113" s="252">
        <f>0.75*5700</f>
        <v>4275</v>
      </c>
      <c r="H113" s="252">
        <v>0</v>
      </c>
      <c r="I113" s="1354">
        <v>4195</v>
      </c>
    </row>
    <row r="114" spans="1:12" s="256" customFormat="1" ht="15.75" customHeight="1" thickBot="1">
      <c r="A114" s="108"/>
      <c r="B114" s="254">
        <v>2212</v>
      </c>
      <c r="C114" s="255" t="s">
        <v>248</v>
      </c>
      <c r="D114" s="255">
        <v>3544</v>
      </c>
      <c r="E114" s="219" t="s">
        <v>295</v>
      </c>
      <c r="F114" s="252">
        <f>0.75*1700</f>
        <v>1275</v>
      </c>
      <c r="G114" s="252">
        <f>0.75*1700</f>
        <v>1275</v>
      </c>
      <c r="H114" s="252">
        <v>0</v>
      </c>
      <c r="I114" s="1354">
        <v>1235</v>
      </c>
    </row>
    <row r="115" spans="1:12" s="256" customFormat="1" ht="15.75" customHeight="1" thickBot="1">
      <c r="A115" s="108"/>
      <c r="B115" s="254">
        <v>2219</v>
      </c>
      <c r="C115" s="255" t="s">
        <v>248</v>
      </c>
      <c r="D115" s="255">
        <v>3547</v>
      </c>
      <c r="E115" s="219" t="s">
        <v>233</v>
      </c>
      <c r="F115" s="252">
        <f>0.75*28000</f>
        <v>21000</v>
      </c>
      <c r="G115" s="252">
        <f>0.75*28000-3200-73.7-5500</f>
        <v>12226.3</v>
      </c>
      <c r="H115" s="252">
        <v>0</v>
      </c>
      <c r="I115" s="1354">
        <v>3656</v>
      </c>
    </row>
    <row r="116" spans="1:12" s="256" customFormat="1" ht="15.75" customHeight="1" thickBot="1">
      <c r="A116" s="108"/>
      <c r="B116" s="1733" t="s">
        <v>229</v>
      </c>
      <c r="C116" s="1734" t="s">
        <v>248</v>
      </c>
      <c r="D116" s="1734" t="s">
        <v>1495</v>
      </c>
      <c r="E116" s="1735" t="s">
        <v>1496</v>
      </c>
      <c r="F116" s="252">
        <v>0</v>
      </c>
      <c r="G116" s="252">
        <v>0</v>
      </c>
      <c r="H116" s="252">
        <v>0</v>
      </c>
      <c r="I116" s="1354">
        <v>555</v>
      </c>
    </row>
    <row r="117" spans="1:12" s="256" customFormat="1" ht="15.75" customHeight="1" thickBot="1">
      <c r="A117" s="108"/>
      <c r="B117" s="1733" t="s">
        <v>180</v>
      </c>
      <c r="C117" s="1734" t="s">
        <v>248</v>
      </c>
      <c r="D117" s="1734" t="s">
        <v>1525</v>
      </c>
      <c r="E117" s="1735" t="s">
        <v>1526</v>
      </c>
      <c r="F117" s="252">
        <v>0</v>
      </c>
      <c r="G117" s="252"/>
      <c r="H117" s="252">
        <v>0</v>
      </c>
      <c r="I117" s="1354">
        <v>2642</v>
      </c>
    </row>
    <row r="118" spans="1:12" s="256" customFormat="1" ht="15.75" customHeight="1" thickBot="1">
      <c r="A118" s="108"/>
      <c r="B118" s="829" t="s">
        <v>52</v>
      </c>
      <c r="C118" s="830" t="s">
        <v>248</v>
      </c>
      <c r="D118" s="830" t="s">
        <v>1208</v>
      </c>
      <c r="E118" s="953" t="s">
        <v>1210</v>
      </c>
      <c r="F118" s="252">
        <v>1500</v>
      </c>
      <c r="G118" s="252">
        <v>1500</v>
      </c>
      <c r="H118" s="252">
        <v>0</v>
      </c>
      <c r="I118" s="1354">
        <v>0</v>
      </c>
    </row>
    <row r="119" spans="1:12" s="256" customFormat="1" ht="15.75" customHeight="1" thickBot="1">
      <c r="A119" s="108"/>
      <c r="B119" s="254" t="s">
        <v>238</v>
      </c>
      <c r="C119" s="255" t="s">
        <v>1494</v>
      </c>
      <c r="D119" s="255" t="s">
        <v>263</v>
      </c>
      <c r="E119" s="219" t="s">
        <v>264</v>
      </c>
      <c r="F119" s="252">
        <v>0</v>
      </c>
      <c r="G119" s="252">
        <v>1390</v>
      </c>
      <c r="H119" s="252">
        <v>0</v>
      </c>
      <c r="I119" s="1354">
        <v>378</v>
      </c>
    </row>
    <row r="120" spans="1:12" s="256" customFormat="1" ht="15.75" customHeight="1" thickBot="1">
      <c r="A120" s="108"/>
      <c r="B120" s="254" t="s">
        <v>176</v>
      </c>
      <c r="C120" s="255" t="s">
        <v>248</v>
      </c>
      <c r="D120" s="255">
        <v>3548</v>
      </c>
      <c r="E120" s="219" t="s">
        <v>298</v>
      </c>
      <c r="F120" s="252">
        <v>7500</v>
      </c>
      <c r="G120" s="252">
        <f>7500-506.97-504.6-382.56-441.408</f>
        <v>5664.4619999999986</v>
      </c>
      <c r="H120" s="252">
        <v>0</v>
      </c>
      <c r="I120" s="1354">
        <v>0</v>
      </c>
    </row>
    <row r="121" spans="1:12" s="256" customFormat="1" ht="15.75" customHeight="1" thickBot="1">
      <c r="A121" s="108"/>
      <c r="B121" s="260" t="s">
        <v>180</v>
      </c>
      <c r="C121" s="261" t="s">
        <v>248</v>
      </c>
      <c r="D121" s="261">
        <v>3551</v>
      </c>
      <c r="E121" s="1422" t="s">
        <v>301</v>
      </c>
      <c r="F121" s="262">
        <v>6900</v>
      </c>
      <c r="G121" s="262">
        <f>6900-1350</f>
        <v>5550</v>
      </c>
      <c r="H121" s="262">
        <v>0</v>
      </c>
      <c r="I121" s="1356">
        <v>0</v>
      </c>
    </row>
    <row r="122" spans="1:12" s="17" customFormat="1" ht="6" customHeight="1" thickTop="1" thickBot="1">
      <c r="A122" s="239"/>
      <c r="B122" s="22"/>
      <c r="C122" s="22"/>
      <c r="D122" s="21"/>
      <c r="E122" s="240"/>
      <c r="F122" s="241"/>
      <c r="G122" s="241"/>
      <c r="H122" s="241"/>
      <c r="I122" s="241"/>
      <c r="J122" s="122"/>
      <c r="K122" s="122"/>
      <c r="L122" s="122"/>
    </row>
    <row r="123" spans="1:12" ht="15.75" customHeight="1" thickTop="1" thickBot="1">
      <c r="B123" s="263"/>
      <c r="C123" s="263"/>
      <c r="D123" s="263"/>
      <c r="E123" s="264" t="s">
        <v>32</v>
      </c>
      <c r="F123" s="171">
        <f>SUM(F35:F37,F40,F43:F55,F69:F85,F88:F89,F92:F121,F66,F57:F63)</f>
        <v>116498</v>
      </c>
      <c r="G123" s="171">
        <f t="shared" ref="G123:I123" si="4">SUM(G35:G37,G40,G43:G55,G69:G85,G88:G89,G92:G121,G66,G57:G63)</f>
        <v>219359.51316999996</v>
      </c>
      <c r="H123" s="171">
        <f>SUM(H35:H37,H40,H43:H55,H69:H85,H88:H89,H92:H121,H66,H57:H63)</f>
        <v>234724.75</v>
      </c>
      <c r="I123" s="1329">
        <f t="shared" si="4"/>
        <v>319618.75</v>
      </c>
      <c r="J123" s="122"/>
      <c r="K123" s="122"/>
      <c r="L123" s="122"/>
    </row>
    <row r="124" spans="1:12" ht="7.5" customHeight="1" thickTop="1" thickBot="1">
      <c r="B124" s="265"/>
      <c r="C124" s="265"/>
      <c r="D124" s="265"/>
      <c r="E124" s="266"/>
      <c r="F124" s="122"/>
      <c r="G124" s="122"/>
      <c r="H124" s="122"/>
      <c r="I124" s="122"/>
    </row>
    <row r="125" spans="1:12" s="155" customFormat="1" ht="15.75" customHeight="1" thickTop="1" thickBot="1">
      <c r="A125" s="203"/>
      <c r="B125" s="175"/>
      <c r="C125" s="176"/>
      <c r="D125" s="176"/>
      <c r="E125" s="267" t="s">
        <v>320</v>
      </c>
      <c r="F125" s="123">
        <f>SUM(F27,F123)</f>
        <v>118416</v>
      </c>
      <c r="G125" s="123">
        <f>SUM(G27,G123)</f>
        <v>228363.57416999995</v>
      </c>
      <c r="H125" s="123">
        <f>SUM(H27,H123)</f>
        <v>236450.75</v>
      </c>
      <c r="I125" s="154">
        <f>SUM(I27,I123)</f>
        <v>321812.75</v>
      </c>
      <c r="J125" s="268"/>
    </row>
    <row r="126" spans="1:12" ht="15.75" customHeight="1" thickTop="1">
      <c r="B126" s="265"/>
      <c r="C126" s="265"/>
      <c r="D126" s="265"/>
      <c r="E126" s="266"/>
    </row>
    <row r="127" spans="1:12" ht="15.75" customHeight="1">
      <c r="B127" s="265"/>
      <c r="C127" s="265"/>
      <c r="D127" s="265"/>
      <c r="E127" s="266"/>
    </row>
  </sheetData>
  <mergeCells count="18">
    <mergeCell ref="B92:E92"/>
    <mergeCell ref="H32:H34"/>
    <mergeCell ref="B40:E40"/>
    <mergeCell ref="B43:E43"/>
    <mergeCell ref="H4:H6"/>
    <mergeCell ref="F4:F6"/>
    <mergeCell ref="B25:E25"/>
    <mergeCell ref="G32:G34"/>
    <mergeCell ref="F32:F34"/>
    <mergeCell ref="B13:E13"/>
    <mergeCell ref="B21:E21"/>
    <mergeCell ref="G4:G6"/>
    <mergeCell ref="B24:E24"/>
    <mergeCell ref="B66:E66"/>
    <mergeCell ref="B69:E69"/>
    <mergeCell ref="I4:I6"/>
    <mergeCell ref="I32:I34"/>
    <mergeCell ref="B88:E88"/>
  </mergeCells>
  <printOptions horizontalCentered="1"/>
  <pageMargins left="0.78740157480314965" right="0.78740157480314965" top="0.78740157480314965" bottom="0.78740157480314965" header="0.39370078740157483" footer="0.39370078740157483"/>
  <pageSetup paperSize="9" scale="87" firstPageNumber="70" orientation="portrait" useFirstPageNumber="1" r:id="rId1"/>
  <headerFooter>
    <oddHeader>&amp;C&amp;"+,Tučné"II. Rozpis rozpočtu</oddHeader>
    <oddFooter>&amp;C&amp;"-,Obyčejné" &amp;P</oddFooter>
  </headerFooter>
  <rowBreaks count="2" manualBreakCount="2">
    <brk id="55" min="1" max="8" man="1"/>
    <brk id="104" min="1" max="8" man="1"/>
  </rowBreaks>
  <ignoredErrors>
    <ignoredError sqref="F40:H40 F13:H13 F27:H27 F88:H88 F89:H92" formulaRange="1"/>
    <ignoredError sqref="C50 B83:E88 B51:D53 B7:E23 B38:E43 C56 C44 B45:C46 E44:E46 E50 B120:E121 B119 D119:E119 B118:E118 B99:D99 B100:E115 B89:E98" numberStoredAsText="1"/>
  </ignoredError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7030A0"/>
  </sheetPr>
  <dimension ref="A1:L267"/>
  <sheetViews>
    <sheetView zoomScaleNormal="100" workbookViewId="0">
      <selection activeCell="O36" sqref="O36"/>
    </sheetView>
  </sheetViews>
  <sheetFormatPr defaultRowHeight="15.75" customHeight="1"/>
  <cols>
    <col min="1" max="1" width="4" style="551" customWidth="1"/>
    <col min="2" max="4" width="5.7109375" style="431" customWidth="1"/>
    <col min="5" max="5" width="36.7109375" style="431" customWidth="1"/>
    <col min="6" max="6" width="9.85546875" style="431" customWidth="1"/>
    <col min="7" max="7" width="9.85546875" style="431" hidden="1" customWidth="1"/>
    <col min="8" max="9" width="9.85546875" style="431" customWidth="1"/>
    <col min="10" max="16384" width="9.140625" style="431"/>
  </cols>
  <sheetData>
    <row r="1" spans="1:12" ht="15.75" customHeight="1">
      <c r="A1" s="532"/>
      <c r="B1" s="533"/>
      <c r="C1" s="533"/>
      <c r="D1" s="533"/>
      <c r="E1" s="533"/>
    </row>
    <row r="2" spans="1:12" ht="15.75" customHeight="1">
      <c r="A2" s="532"/>
      <c r="B2" s="533"/>
      <c r="C2" s="533"/>
      <c r="D2" s="533"/>
      <c r="E2" s="533"/>
    </row>
    <row r="3" spans="1:12" ht="15.75" customHeight="1" thickBot="1">
      <c r="A3" s="532"/>
      <c r="B3" s="533"/>
      <c r="C3" s="533"/>
      <c r="D3" s="533"/>
      <c r="E3" s="533"/>
    </row>
    <row r="4" spans="1:12" ht="15.75" customHeight="1" thickTop="1">
      <c r="A4" s="532"/>
      <c r="B4" s="534"/>
      <c r="C4" s="411"/>
      <c r="D4" s="535"/>
      <c r="E4" s="412"/>
      <c r="F4" s="1962" t="s">
        <v>44</v>
      </c>
      <c r="G4" s="1962" t="s">
        <v>43</v>
      </c>
      <c r="H4" s="1962" t="s">
        <v>1487</v>
      </c>
      <c r="I4" s="1971" t="s">
        <v>1488</v>
      </c>
    </row>
    <row r="5" spans="1:12" ht="15.75" customHeight="1">
      <c r="A5" s="532" t="s">
        <v>120</v>
      </c>
      <c r="B5" s="536" t="s">
        <v>42</v>
      </c>
      <c r="C5" s="414" t="s">
        <v>41</v>
      </c>
      <c r="D5" s="537" t="s">
        <v>40</v>
      </c>
      <c r="E5" s="415"/>
      <c r="F5" s="1963"/>
      <c r="G5" s="1963"/>
      <c r="H5" s="1963"/>
      <c r="I5" s="1972"/>
    </row>
    <row r="6" spans="1:12" ht="15.75" customHeight="1" thickBot="1">
      <c r="A6" s="532"/>
      <c r="B6" s="538"/>
      <c r="C6" s="417"/>
      <c r="D6" s="539"/>
      <c r="E6" s="418" t="s">
        <v>38</v>
      </c>
      <c r="F6" s="1964"/>
      <c r="G6" s="1964"/>
      <c r="H6" s="1964"/>
      <c r="I6" s="1973"/>
      <c r="J6" s="1"/>
      <c r="K6" s="1"/>
      <c r="L6" s="1"/>
    </row>
    <row r="7" spans="1:12" ht="15.75" customHeight="1" thickTop="1" thickBot="1">
      <c r="A7" s="532"/>
      <c r="B7" s="540">
        <v>3635</v>
      </c>
      <c r="C7" s="541">
        <v>5166</v>
      </c>
      <c r="D7" s="542" t="s">
        <v>775</v>
      </c>
      <c r="E7" s="543" t="s">
        <v>776</v>
      </c>
      <c r="F7" s="544">
        <v>100</v>
      </c>
      <c r="G7" s="544">
        <v>100</v>
      </c>
      <c r="H7" s="544">
        <v>100</v>
      </c>
      <c r="I7" s="1403">
        <v>100</v>
      </c>
    </row>
    <row r="8" spans="1:12" ht="15.75" customHeight="1" thickBot="1">
      <c r="A8" s="532"/>
      <c r="B8" s="545">
        <v>3635</v>
      </c>
      <c r="C8" s="546">
        <v>5169</v>
      </c>
      <c r="D8" s="528" t="s">
        <v>775</v>
      </c>
      <c r="E8" s="547" t="s">
        <v>777</v>
      </c>
      <c r="F8" s="96">
        <v>2133</v>
      </c>
      <c r="G8" s="96">
        <v>2133</v>
      </c>
      <c r="H8" s="96">
        <v>2763</v>
      </c>
      <c r="I8" s="1383">
        <v>2763</v>
      </c>
    </row>
    <row r="9" spans="1:12" ht="15.75" customHeight="1" thickBot="1">
      <c r="A9" s="532"/>
      <c r="B9" s="545">
        <v>3699</v>
      </c>
      <c r="C9" s="546">
        <v>5166</v>
      </c>
      <c r="D9" s="528" t="s">
        <v>775</v>
      </c>
      <c r="E9" s="547" t="s">
        <v>778</v>
      </c>
      <c r="F9" s="96">
        <v>300</v>
      </c>
      <c r="G9" s="96">
        <v>300</v>
      </c>
      <c r="H9" s="96">
        <v>217</v>
      </c>
      <c r="I9" s="1383">
        <v>217</v>
      </c>
    </row>
    <row r="10" spans="1:12" ht="15.75" customHeight="1" thickBot="1">
      <c r="A10" s="532"/>
      <c r="B10" s="545">
        <v>3699</v>
      </c>
      <c r="C10" s="546">
        <v>5169</v>
      </c>
      <c r="D10" s="528" t="s">
        <v>775</v>
      </c>
      <c r="E10" s="547" t="s">
        <v>779</v>
      </c>
      <c r="F10" s="96">
        <v>500</v>
      </c>
      <c r="G10" s="96">
        <v>500</v>
      </c>
      <c r="H10" s="96">
        <v>250</v>
      </c>
      <c r="I10" s="1383">
        <v>250</v>
      </c>
    </row>
    <row r="11" spans="1:12" ht="15.75" customHeight="1" thickBot="1">
      <c r="A11" s="532">
        <v>503</v>
      </c>
      <c r="B11" s="2044" t="s">
        <v>780</v>
      </c>
      <c r="C11" s="2045"/>
      <c r="D11" s="2045"/>
      <c r="E11" s="2045"/>
      <c r="F11" s="548">
        <f>SUM(F7:F10)</f>
        <v>3033</v>
      </c>
      <c r="G11" s="55">
        <f>SUM(G7:G10)</f>
        <v>3033</v>
      </c>
      <c r="H11" s="55">
        <f>SUM(H7:H10)</f>
        <v>3330</v>
      </c>
      <c r="I11" s="1362">
        <f>SUM(I7:I10)</f>
        <v>3330</v>
      </c>
    </row>
    <row r="12" spans="1:12" s="12" customFormat="1" ht="15.75" customHeight="1" thickTop="1" thickBot="1">
      <c r="A12" s="4"/>
      <c r="B12" s="316">
        <v>3699</v>
      </c>
      <c r="C12" s="317">
        <v>5166</v>
      </c>
      <c r="D12" s="230" t="s">
        <v>781</v>
      </c>
      <c r="E12" s="318" t="s">
        <v>778</v>
      </c>
      <c r="F12" s="549">
        <v>100</v>
      </c>
      <c r="G12" s="549">
        <v>100</v>
      </c>
      <c r="H12" s="549">
        <v>120</v>
      </c>
      <c r="I12" s="1404">
        <v>120</v>
      </c>
    </row>
    <row r="13" spans="1:12" s="12" customFormat="1" ht="15.75" customHeight="1" thickBot="1">
      <c r="A13" s="4"/>
      <c r="B13" s="80">
        <v>3699</v>
      </c>
      <c r="C13" s="60">
        <v>5169</v>
      </c>
      <c r="D13" s="61" t="s">
        <v>781</v>
      </c>
      <c r="E13" s="59" t="s">
        <v>779</v>
      </c>
      <c r="F13" s="96">
        <v>30</v>
      </c>
      <c r="G13" s="96">
        <v>30</v>
      </c>
      <c r="H13" s="96">
        <v>10</v>
      </c>
      <c r="I13" s="1383">
        <v>10</v>
      </c>
    </row>
    <row r="14" spans="1:12" s="12" customFormat="1" ht="15.75" customHeight="1" thickBot="1">
      <c r="A14" s="4">
        <v>501</v>
      </c>
      <c r="B14" s="1960" t="s">
        <v>782</v>
      </c>
      <c r="C14" s="1961"/>
      <c r="D14" s="1961"/>
      <c r="E14" s="1961"/>
      <c r="F14" s="55">
        <f>SUM(F12:F13)</f>
        <v>130</v>
      </c>
      <c r="G14" s="55">
        <f>SUM(G12:G13)</f>
        <v>130</v>
      </c>
      <c r="H14" s="55">
        <f>SUM(H12:H13)</f>
        <v>130</v>
      </c>
      <c r="I14" s="1362">
        <f>SUM(I12:I13)</f>
        <v>130</v>
      </c>
    </row>
    <row r="15" spans="1:12" s="12" customFormat="1" ht="15.75" customHeight="1" thickTop="1" thickBot="1">
      <c r="A15" s="4"/>
      <c r="B15" s="316">
        <v>6171</v>
      </c>
      <c r="C15" s="317">
        <v>5139</v>
      </c>
      <c r="D15" s="230" t="s">
        <v>783</v>
      </c>
      <c r="E15" s="318" t="s">
        <v>90</v>
      </c>
      <c r="F15" s="550">
        <v>10</v>
      </c>
      <c r="G15" s="550">
        <v>10</v>
      </c>
      <c r="H15" s="550">
        <v>15</v>
      </c>
      <c r="I15" s="1405">
        <v>15</v>
      </c>
    </row>
    <row r="16" spans="1:12" s="12" customFormat="1" ht="15.75" customHeight="1" thickBot="1">
      <c r="A16" s="4"/>
      <c r="B16" s="80">
        <v>6171</v>
      </c>
      <c r="C16" s="60">
        <v>5169</v>
      </c>
      <c r="D16" s="61" t="s">
        <v>783</v>
      </c>
      <c r="E16" s="59" t="s">
        <v>211</v>
      </c>
      <c r="F16" s="550">
        <v>100</v>
      </c>
      <c r="G16" s="550">
        <f>100-1.68142</f>
        <v>98.318579999999997</v>
      </c>
      <c r="H16" s="550">
        <v>98</v>
      </c>
      <c r="I16" s="1405">
        <v>98</v>
      </c>
    </row>
    <row r="17" spans="1:12" s="12" customFormat="1" ht="15.75" customHeight="1" thickBot="1">
      <c r="A17" s="4"/>
      <c r="B17" s="80">
        <v>6171</v>
      </c>
      <c r="C17" s="60">
        <v>5171</v>
      </c>
      <c r="D17" s="61" t="s">
        <v>783</v>
      </c>
      <c r="E17" s="59" t="s">
        <v>53</v>
      </c>
      <c r="F17" s="550">
        <v>30</v>
      </c>
      <c r="G17" s="550">
        <v>30</v>
      </c>
      <c r="H17" s="550">
        <v>30</v>
      </c>
      <c r="I17" s="1405">
        <v>30</v>
      </c>
    </row>
    <row r="18" spans="1:12" s="12" customFormat="1" ht="15.75" customHeight="1" thickBot="1">
      <c r="A18" s="4">
        <v>502</v>
      </c>
      <c r="B18" s="1960" t="s">
        <v>784</v>
      </c>
      <c r="C18" s="1961"/>
      <c r="D18" s="1961"/>
      <c r="E18" s="1961"/>
      <c r="F18" s="55">
        <f>SUM(F15:F17)</f>
        <v>140</v>
      </c>
      <c r="G18" s="55">
        <f t="shared" ref="G18:H18" si="0">SUM(G15:G17)</f>
        <v>138.31858</v>
      </c>
      <c r="H18" s="55">
        <f t="shared" si="0"/>
        <v>143</v>
      </c>
      <c r="I18" s="1362">
        <f t="shared" ref="I18" si="1">SUM(I15:I17)</f>
        <v>143</v>
      </c>
    </row>
    <row r="19" spans="1:12" s="286" customFormat="1" ht="6" customHeight="1" thickTop="1" thickBot="1">
      <c r="A19" s="23"/>
      <c r="B19" s="22"/>
      <c r="C19" s="22"/>
      <c r="D19" s="21"/>
      <c r="E19" s="20"/>
      <c r="F19" s="18"/>
      <c r="G19" s="18"/>
      <c r="H19" s="18"/>
      <c r="I19" s="18"/>
    </row>
    <row r="20" spans="1:12" s="16" customFormat="1" ht="15.75" customHeight="1" thickTop="1" thickBot="1">
      <c r="A20" s="151"/>
      <c r="E20" s="15" t="s">
        <v>30</v>
      </c>
      <c r="F20" s="152">
        <f>SUM(F11,F14,F18)</f>
        <v>3303</v>
      </c>
      <c r="G20" s="152">
        <f>SUM(G11,G14,G18)</f>
        <v>3301.3185800000001</v>
      </c>
      <c r="H20" s="152">
        <f>SUM(H11,H14,H18)</f>
        <v>3603</v>
      </c>
      <c r="I20" s="121">
        <f>SUM(I11,I14,I18)</f>
        <v>3603</v>
      </c>
    </row>
    <row r="21" spans="1:12" s="16" customFormat="1" ht="15.75" customHeight="1" thickTop="1">
      <c r="A21" s="151"/>
      <c r="E21" s="43"/>
      <c r="F21" s="293"/>
      <c r="G21" s="293"/>
      <c r="H21" s="293"/>
      <c r="I21" s="293"/>
    </row>
    <row r="22" spans="1:12" s="46" customFormat="1" ht="10.5" customHeight="1">
      <c r="A22" s="10"/>
      <c r="B22" s="12"/>
      <c r="C22" s="12"/>
      <c r="D22" s="12"/>
      <c r="E22" s="12"/>
      <c r="F22" s="122"/>
      <c r="G22" s="122"/>
      <c r="H22" s="122"/>
      <c r="I22" s="122"/>
    </row>
    <row r="23" spans="1:12" s="46" customFormat="1" ht="10.5" customHeight="1">
      <c r="A23" s="10"/>
      <c r="B23" s="12"/>
      <c r="C23" s="12"/>
      <c r="D23" s="12"/>
      <c r="E23" s="12"/>
      <c r="F23" s="122"/>
      <c r="G23" s="122"/>
      <c r="H23" s="122"/>
      <c r="I23" s="122"/>
    </row>
    <row r="24" spans="1:12" s="46" customFormat="1" ht="10.5" customHeight="1">
      <c r="A24" s="10"/>
      <c r="B24" s="12"/>
      <c r="C24" s="12"/>
      <c r="D24" s="12"/>
      <c r="E24" s="12"/>
      <c r="F24" s="122"/>
      <c r="G24" s="122"/>
      <c r="H24" s="122"/>
      <c r="I24" s="122"/>
    </row>
    <row r="25" spans="1:12" s="46" customFormat="1" ht="10.5" customHeight="1" thickBot="1">
      <c r="A25" s="10"/>
      <c r="B25" s="12"/>
      <c r="C25" s="12"/>
      <c r="D25" s="12"/>
      <c r="E25" s="12"/>
      <c r="F25" s="122"/>
      <c r="G25" s="122"/>
      <c r="H25" s="122"/>
      <c r="I25" s="122"/>
    </row>
    <row r="26" spans="1:12" ht="15.75" customHeight="1" thickTop="1">
      <c r="A26" s="532"/>
      <c r="B26" s="534"/>
      <c r="C26" s="411"/>
      <c r="D26" s="535"/>
      <c r="E26" s="412"/>
      <c r="F26" s="1962" t="s">
        <v>44</v>
      </c>
      <c r="G26" s="1962" t="s">
        <v>43</v>
      </c>
      <c r="H26" s="1962" t="s">
        <v>1487</v>
      </c>
      <c r="I26" s="1971" t="s">
        <v>1488</v>
      </c>
    </row>
    <row r="27" spans="1:12" ht="15.75" customHeight="1">
      <c r="A27" s="532"/>
      <c r="B27" s="536" t="s">
        <v>42</v>
      </c>
      <c r="C27" s="414" t="s">
        <v>41</v>
      </c>
      <c r="D27" s="537" t="s">
        <v>40</v>
      </c>
      <c r="E27" s="415"/>
      <c r="F27" s="1963"/>
      <c r="G27" s="1963"/>
      <c r="H27" s="1963"/>
      <c r="I27" s="1972"/>
    </row>
    <row r="28" spans="1:12" ht="15.75" customHeight="1" thickBot="1">
      <c r="A28" s="532"/>
      <c r="B28" s="538"/>
      <c r="C28" s="417"/>
      <c r="D28" s="539"/>
      <c r="E28" s="418"/>
      <c r="F28" s="1964"/>
      <c r="G28" s="1964"/>
      <c r="H28" s="1964"/>
      <c r="I28" s="1973"/>
      <c r="J28" s="1"/>
      <c r="K28" s="1"/>
      <c r="L28" s="1"/>
    </row>
    <row r="29" spans="1:12" ht="27.75" customHeight="1" thickTop="1" thickBot="1">
      <c r="A29" s="532"/>
      <c r="B29" s="961" t="s">
        <v>52</v>
      </c>
      <c r="C29" s="962" t="s">
        <v>1189</v>
      </c>
      <c r="D29" s="963" t="s">
        <v>781</v>
      </c>
      <c r="E29" s="964" t="s">
        <v>1203</v>
      </c>
      <c r="F29" s="965">
        <v>0</v>
      </c>
      <c r="G29" s="965">
        <v>0</v>
      </c>
      <c r="H29" s="965">
        <v>350</v>
      </c>
      <c r="I29" s="1400">
        <v>350</v>
      </c>
      <c r="J29" s="1"/>
      <c r="K29" s="1"/>
      <c r="L29" s="1"/>
    </row>
    <row r="30" spans="1:12" ht="15.75" customHeight="1" thickBot="1">
      <c r="A30" s="532"/>
      <c r="B30" s="1853" t="s">
        <v>785</v>
      </c>
      <c r="C30" s="1854" t="s">
        <v>786</v>
      </c>
      <c r="D30" s="1855" t="s">
        <v>781</v>
      </c>
      <c r="E30" s="1856" t="s">
        <v>787</v>
      </c>
      <c r="F30" s="960">
        <v>0</v>
      </c>
      <c r="G30" s="960">
        <v>20.52</v>
      </c>
      <c r="H30" s="960">
        <v>0</v>
      </c>
      <c r="I30" s="1401">
        <v>0</v>
      </c>
    </row>
    <row r="31" spans="1:12" s="46" customFormat="1" ht="6" customHeight="1" thickTop="1" thickBot="1">
      <c r="A31" s="10"/>
      <c r="B31" s="22"/>
      <c r="C31" s="22"/>
      <c r="D31" s="21"/>
      <c r="E31" s="20"/>
      <c r="F31" s="826"/>
      <c r="G31" s="827"/>
      <c r="H31" s="827"/>
      <c r="I31" s="827"/>
    </row>
    <row r="32" spans="1:12" s="16" customFormat="1" ht="15.75" customHeight="1" thickTop="1" thickBot="1">
      <c r="A32" s="151"/>
      <c r="E32" s="15" t="s">
        <v>32</v>
      </c>
      <c r="F32" s="298">
        <f>SUM(F29:F30)</f>
        <v>0</v>
      </c>
      <c r="G32" s="298">
        <f t="shared" ref="G32:H32" si="2">SUM(G29:G30)</f>
        <v>20.52</v>
      </c>
      <c r="H32" s="298">
        <f t="shared" si="2"/>
        <v>350</v>
      </c>
      <c r="I32" s="1360">
        <f t="shared" ref="I32" si="3">SUM(I29:I30)</f>
        <v>350</v>
      </c>
    </row>
    <row r="33" spans="1:9" s="1" customFormat="1" ht="7.5" customHeight="1" thickTop="1" thickBot="1">
      <c r="A33" s="10"/>
      <c r="B33" s="12"/>
      <c r="C33" s="12"/>
      <c r="D33" s="12"/>
      <c r="E33" s="12"/>
      <c r="F33" s="855"/>
      <c r="G33" s="856"/>
      <c r="H33" s="856"/>
      <c r="I33" s="856"/>
    </row>
    <row r="34" spans="1:9" s="155" customFormat="1" ht="15.75" customHeight="1" thickTop="1" thickBot="1">
      <c r="A34" s="10"/>
      <c r="B34" s="9"/>
      <c r="C34" s="8"/>
      <c r="D34" s="8"/>
      <c r="E34" s="8" t="s">
        <v>788</v>
      </c>
      <c r="F34" s="506">
        <f>SUM(F20,F32)</f>
        <v>3303</v>
      </c>
      <c r="G34" s="506">
        <f>SUM(G20,G32)</f>
        <v>3321.8385800000001</v>
      </c>
      <c r="H34" s="506">
        <f>SUM(H20,H32)</f>
        <v>3953</v>
      </c>
      <c r="I34" s="1402">
        <f>SUM(I20,I32)</f>
        <v>3953</v>
      </c>
    </row>
    <row r="35" spans="1:9" s="12" customFormat="1" ht="15.75" customHeight="1" thickTop="1">
      <c r="A35" s="10"/>
      <c r="F35" s="122"/>
      <c r="G35" s="122"/>
      <c r="H35" s="122"/>
      <c r="I35" s="122"/>
    </row>
    <row r="36" spans="1:9" s="12" customFormat="1" ht="15.75" customHeight="1">
      <c r="A36" s="203"/>
      <c r="B36" s="3"/>
      <c r="C36" s="3"/>
      <c r="D36" s="3"/>
      <c r="E36" s="3"/>
      <c r="F36" s="2"/>
      <c r="G36" s="2"/>
      <c r="H36" s="2"/>
      <c r="I36" s="2"/>
    </row>
    <row r="37" spans="1:9" ht="15.75" customHeight="1">
      <c r="B37" s="533"/>
      <c r="C37" s="533"/>
      <c r="D37" s="533"/>
      <c r="E37" s="533"/>
      <c r="F37" s="533"/>
      <c r="G37" s="533"/>
      <c r="H37" s="533"/>
      <c r="I37" s="533"/>
    </row>
    <row r="38" spans="1:9" ht="15.75" customHeight="1">
      <c r="B38" s="533"/>
      <c r="C38" s="533"/>
      <c r="D38" s="533"/>
      <c r="E38" s="533"/>
      <c r="F38" s="533"/>
      <c r="G38" s="533"/>
      <c r="H38" s="533"/>
      <c r="I38" s="533"/>
    </row>
    <row r="39" spans="1:9" ht="15.75" customHeight="1">
      <c r="B39" s="533"/>
      <c r="C39" s="533"/>
      <c r="D39" s="533"/>
      <c r="E39" s="533"/>
      <c r="F39" s="533"/>
      <c r="G39" s="533"/>
      <c r="H39" s="533"/>
      <c r="I39" s="533"/>
    </row>
    <row r="40" spans="1:9" ht="15.75" customHeight="1">
      <c r="B40" s="533"/>
      <c r="C40" s="533"/>
      <c r="D40" s="533"/>
      <c r="E40" s="533"/>
      <c r="F40" s="533"/>
      <c r="G40" s="533"/>
      <c r="H40" s="533"/>
      <c r="I40" s="533"/>
    </row>
    <row r="41" spans="1:9" ht="15.75" customHeight="1">
      <c r="B41" s="533"/>
      <c r="C41" s="533"/>
      <c r="D41" s="533"/>
      <c r="E41" s="533"/>
      <c r="F41" s="533"/>
      <c r="G41" s="533"/>
      <c r="H41" s="533"/>
      <c r="I41" s="533"/>
    </row>
    <row r="42" spans="1:9" ht="15.75" customHeight="1">
      <c r="B42" s="533"/>
      <c r="C42" s="533"/>
      <c r="D42" s="533"/>
      <c r="E42" s="533"/>
      <c r="F42" s="533"/>
      <c r="G42" s="533"/>
      <c r="H42" s="533"/>
      <c r="I42" s="533"/>
    </row>
    <row r="43" spans="1:9" ht="15.75" customHeight="1">
      <c r="B43" s="533"/>
      <c r="C43" s="533"/>
      <c r="D43" s="533"/>
      <c r="E43" s="533"/>
      <c r="F43" s="533"/>
      <c r="G43" s="533"/>
      <c r="H43" s="533"/>
      <c r="I43" s="533"/>
    </row>
    <row r="44" spans="1:9" ht="15.75" customHeight="1">
      <c r="B44" s="533"/>
      <c r="C44" s="533"/>
      <c r="D44" s="533"/>
      <c r="E44" s="533"/>
      <c r="F44" s="533"/>
      <c r="G44" s="533"/>
      <c r="H44" s="533"/>
      <c r="I44" s="533"/>
    </row>
    <row r="45" spans="1:9" ht="15.75" customHeight="1">
      <c r="B45" s="533"/>
      <c r="C45" s="533"/>
      <c r="D45" s="533"/>
      <c r="E45" s="533"/>
      <c r="F45" s="533"/>
      <c r="G45" s="533"/>
      <c r="H45" s="533"/>
      <c r="I45" s="533"/>
    </row>
    <row r="46" spans="1:9" ht="15.75" customHeight="1">
      <c r="B46" s="533"/>
      <c r="C46" s="533"/>
      <c r="D46" s="533"/>
      <c r="E46" s="533"/>
      <c r="F46" s="533"/>
      <c r="G46" s="533"/>
      <c r="H46" s="533"/>
      <c r="I46" s="533"/>
    </row>
    <row r="47" spans="1:9" ht="15.75" customHeight="1">
      <c r="B47" s="533"/>
      <c r="C47" s="533"/>
      <c r="D47" s="533"/>
      <c r="E47" s="533"/>
      <c r="F47" s="533"/>
      <c r="G47" s="533"/>
      <c r="H47" s="533"/>
      <c r="I47" s="533"/>
    </row>
    <row r="48" spans="1:9" ht="15.75" customHeight="1">
      <c r="B48" s="533"/>
      <c r="C48" s="533"/>
      <c r="D48" s="533"/>
      <c r="E48" s="533"/>
      <c r="F48" s="533"/>
      <c r="G48" s="533"/>
      <c r="H48" s="533"/>
      <c r="I48" s="533"/>
    </row>
    <row r="49" spans="2:9" ht="15.75" customHeight="1">
      <c r="B49" s="533"/>
      <c r="C49" s="533"/>
      <c r="D49" s="533"/>
      <c r="E49" s="533"/>
      <c r="F49" s="533"/>
      <c r="G49" s="533"/>
      <c r="H49" s="533"/>
      <c r="I49" s="533"/>
    </row>
    <row r="50" spans="2:9" ht="15.75" customHeight="1">
      <c r="B50" s="533"/>
      <c r="C50" s="533"/>
      <c r="D50" s="533"/>
      <c r="E50" s="533"/>
      <c r="F50" s="533"/>
      <c r="G50" s="533"/>
      <c r="H50" s="533"/>
      <c r="I50" s="533"/>
    </row>
    <row r="51" spans="2:9" ht="15.75" customHeight="1">
      <c r="B51" s="533"/>
      <c r="C51" s="533"/>
      <c r="D51" s="533"/>
      <c r="E51" s="533"/>
      <c r="F51" s="533"/>
      <c r="G51" s="533"/>
      <c r="H51" s="533"/>
      <c r="I51" s="533"/>
    </row>
    <row r="52" spans="2:9" ht="15.75" customHeight="1">
      <c r="B52" s="533"/>
      <c r="C52" s="533"/>
      <c r="D52" s="533"/>
      <c r="E52" s="533"/>
      <c r="F52" s="533"/>
      <c r="G52" s="533"/>
      <c r="H52" s="533"/>
      <c r="I52" s="533"/>
    </row>
    <row r="53" spans="2:9" ht="15.75" customHeight="1">
      <c r="B53" s="533"/>
      <c r="C53" s="533"/>
      <c r="D53" s="533"/>
      <c r="E53" s="533"/>
      <c r="F53" s="533"/>
      <c r="G53" s="533"/>
      <c r="H53" s="533"/>
      <c r="I53" s="533"/>
    </row>
    <row r="54" spans="2:9" ht="15.75" customHeight="1">
      <c r="B54" s="533"/>
      <c r="C54" s="533"/>
      <c r="D54" s="533"/>
      <c r="E54" s="533"/>
      <c r="F54" s="533"/>
      <c r="G54" s="533"/>
      <c r="H54" s="533"/>
      <c r="I54" s="533"/>
    </row>
    <row r="55" spans="2:9" ht="15.75" customHeight="1">
      <c r="B55" s="533"/>
      <c r="C55" s="533"/>
      <c r="D55" s="533"/>
      <c r="E55" s="533"/>
      <c r="F55" s="533"/>
      <c r="G55" s="533"/>
      <c r="H55" s="533"/>
      <c r="I55" s="533"/>
    </row>
    <row r="56" spans="2:9" ht="15.75" customHeight="1">
      <c r="B56" s="533"/>
      <c r="C56" s="533"/>
      <c r="D56" s="533"/>
      <c r="E56" s="533"/>
      <c r="F56" s="533"/>
      <c r="G56" s="533"/>
      <c r="H56" s="533"/>
      <c r="I56" s="533"/>
    </row>
    <row r="57" spans="2:9" ht="15.75" customHeight="1">
      <c r="B57" s="533"/>
      <c r="C57" s="533"/>
      <c r="D57" s="533"/>
      <c r="E57" s="533"/>
      <c r="F57" s="533"/>
      <c r="G57" s="533"/>
      <c r="H57" s="533"/>
      <c r="I57" s="533"/>
    </row>
    <row r="58" spans="2:9" ht="15.75" customHeight="1">
      <c r="B58" s="533"/>
      <c r="C58" s="533"/>
      <c r="D58" s="533"/>
      <c r="E58" s="533"/>
      <c r="F58" s="533"/>
      <c r="G58" s="533"/>
      <c r="H58" s="533"/>
      <c r="I58" s="533"/>
    </row>
    <row r="59" spans="2:9" ht="15.75" customHeight="1">
      <c r="B59" s="533"/>
      <c r="C59" s="533"/>
      <c r="D59" s="533"/>
      <c r="E59" s="533"/>
      <c r="F59" s="533"/>
      <c r="G59" s="533"/>
      <c r="H59" s="533"/>
      <c r="I59" s="533"/>
    </row>
    <row r="60" spans="2:9" ht="15.75" customHeight="1">
      <c r="B60" s="533"/>
      <c r="C60" s="533"/>
      <c r="D60" s="533"/>
      <c r="E60" s="533"/>
      <c r="F60" s="533"/>
      <c r="G60" s="533"/>
      <c r="H60" s="533"/>
      <c r="I60" s="533"/>
    </row>
    <row r="61" spans="2:9" ht="15.75" customHeight="1">
      <c r="B61" s="533"/>
      <c r="C61" s="533"/>
      <c r="D61" s="533"/>
      <c r="E61" s="533"/>
      <c r="F61" s="533"/>
      <c r="G61" s="533"/>
      <c r="H61" s="533"/>
      <c r="I61" s="533"/>
    </row>
    <row r="62" spans="2:9" ht="15.75" customHeight="1">
      <c r="B62" s="533"/>
      <c r="C62" s="533"/>
      <c r="D62" s="533"/>
      <c r="E62" s="533"/>
      <c r="F62" s="533"/>
      <c r="G62" s="533"/>
      <c r="H62" s="533"/>
      <c r="I62" s="533"/>
    </row>
    <row r="63" spans="2:9" ht="15.75" customHeight="1">
      <c r="B63" s="533"/>
      <c r="C63" s="533"/>
      <c r="D63" s="533"/>
      <c r="E63" s="533"/>
      <c r="F63" s="533"/>
      <c r="G63" s="533"/>
      <c r="H63" s="533"/>
      <c r="I63" s="533"/>
    </row>
    <row r="64" spans="2:9" ht="15.75" customHeight="1">
      <c r="B64" s="533"/>
      <c r="C64" s="533"/>
      <c r="D64" s="533"/>
      <c r="E64" s="533"/>
      <c r="F64" s="533"/>
      <c r="G64" s="533"/>
      <c r="H64" s="533"/>
      <c r="I64" s="533"/>
    </row>
    <row r="65" spans="2:9" ht="15.75" customHeight="1">
      <c r="B65" s="533"/>
      <c r="C65" s="533"/>
      <c r="D65" s="533"/>
      <c r="E65" s="533"/>
      <c r="F65" s="533"/>
      <c r="G65" s="533"/>
      <c r="H65" s="533"/>
      <c r="I65" s="533"/>
    </row>
    <row r="66" spans="2:9" ht="15.75" customHeight="1">
      <c r="B66" s="533"/>
      <c r="C66" s="533"/>
      <c r="D66" s="533"/>
      <c r="E66" s="533"/>
      <c r="F66" s="533"/>
      <c r="G66" s="533"/>
      <c r="H66" s="533"/>
      <c r="I66" s="533"/>
    </row>
    <row r="67" spans="2:9" ht="15.75" customHeight="1">
      <c r="B67" s="533"/>
      <c r="C67" s="533"/>
      <c r="D67" s="533"/>
      <c r="E67" s="533"/>
      <c r="F67" s="533"/>
      <c r="G67" s="533"/>
      <c r="H67" s="533"/>
      <c r="I67" s="533"/>
    </row>
    <row r="68" spans="2:9" ht="15.75" customHeight="1">
      <c r="B68" s="533"/>
      <c r="C68" s="533"/>
      <c r="D68" s="533"/>
      <c r="E68" s="533"/>
      <c r="F68" s="533"/>
      <c r="G68" s="533"/>
      <c r="H68" s="533"/>
      <c r="I68" s="533"/>
    </row>
    <row r="69" spans="2:9" ht="15.75" customHeight="1">
      <c r="B69" s="533"/>
      <c r="C69" s="533"/>
      <c r="D69" s="533"/>
      <c r="E69" s="533"/>
      <c r="F69" s="533"/>
      <c r="G69" s="533"/>
      <c r="H69" s="533"/>
      <c r="I69" s="533"/>
    </row>
    <row r="70" spans="2:9" ht="15.75" customHeight="1">
      <c r="B70" s="533"/>
      <c r="C70" s="533"/>
      <c r="D70" s="533"/>
      <c r="E70" s="533"/>
      <c r="F70" s="533"/>
      <c r="G70" s="533"/>
      <c r="H70" s="533"/>
      <c r="I70" s="533"/>
    </row>
    <row r="71" spans="2:9" ht="15.75" customHeight="1">
      <c r="B71" s="533"/>
      <c r="C71" s="533"/>
      <c r="D71" s="533"/>
      <c r="E71" s="533"/>
      <c r="F71" s="533"/>
      <c r="G71" s="533"/>
      <c r="H71" s="533"/>
      <c r="I71" s="533"/>
    </row>
    <row r="72" spans="2:9" ht="15.75" customHeight="1">
      <c r="B72" s="533"/>
      <c r="C72" s="533"/>
      <c r="D72" s="533"/>
      <c r="E72" s="533"/>
      <c r="F72" s="533"/>
      <c r="G72" s="533"/>
      <c r="H72" s="533"/>
      <c r="I72" s="533"/>
    </row>
    <row r="73" spans="2:9" ht="15.75" customHeight="1">
      <c r="B73" s="533"/>
      <c r="C73" s="533"/>
      <c r="D73" s="533"/>
      <c r="E73" s="533"/>
      <c r="F73" s="533"/>
      <c r="G73" s="533"/>
      <c r="H73" s="533"/>
      <c r="I73" s="533"/>
    </row>
    <row r="74" spans="2:9" ht="15.75" customHeight="1">
      <c r="B74" s="533"/>
      <c r="C74" s="533"/>
      <c r="D74" s="533"/>
      <c r="E74" s="533"/>
      <c r="F74" s="533"/>
      <c r="G74" s="533"/>
      <c r="H74" s="533"/>
      <c r="I74" s="533"/>
    </row>
    <row r="75" spans="2:9" ht="15.75" customHeight="1">
      <c r="B75" s="533"/>
      <c r="C75" s="533"/>
      <c r="D75" s="533"/>
      <c r="E75" s="533"/>
      <c r="F75" s="533"/>
      <c r="G75" s="533"/>
      <c r="H75" s="533"/>
      <c r="I75" s="533"/>
    </row>
    <row r="76" spans="2:9" ht="15.75" customHeight="1">
      <c r="B76" s="533"/>
      <c r="C76" s="533"/>
      <c r="D76" s="533"/>
      <c r="E76" s="533"/>
      <c r="F76" s="533"/>
      <c r="G76" s="533"/>
      <c r="H76" s="533"/>
      <c r="I76" s="533"/>
    </row>
    <row r="77" spans="2:9" ht="15.75" customHeight="1">
      <c r="B77" s="533"/>
      <c r="C77" s="533"/>
      <c r="D77" s="533"/>
      <c r="E77" s="533"/>
      <c r="F77" s="533"/>
      <c r="G77" s="533"/>
      <c r="H77" s="533"/>
      <c r="I77" s="533"/>
    </row>
    <row r="78" spans="2:9" ht="15.75" customHeight="1">
      <c r="B78" s="533"/>
      <c r="C78" s="533"/>
      <c r="D78" s="533"/>
      <c r="E78" s="533"/>
      <c r="F78" s="533"/>
      <c r="G78" s="533"/>
      <c r="H78" s="533"/>
      <c r="I78" s="533"/>
    </row>
    <row r="79" spans="2:9" ht="15.75" customHeight="1">
      <c r="B79" s="533"/>
      <c r="C79" s="533"/>
      <c r="D79" s="533"/>
      <c r="E79" s="533"/>
      <c r="F79" s="533"/>
      <c r="G79" s="533"/>
      <c r="H79" s="533"/>
      <c r="I79" s="533"/>
    </row>
    <row r="80" spans="2:9" ht="15.75" customHeight="1">
      <c r="B80" s="533"/>
      <c r="C80" s="533"/>
      <c r="D80" s="533"/>
      <c r="E80" s="533"/>
      <c r="F80" s="533"/>
      <c r="G80" s="533"/>
      <c r="H80" s="533"/>
      <c r="I80" s="533"/>
    </row>
    <row r="81" spans="2:9" ht="15.75" customHeight="1">
      <c r="B81" s="533"/>
      <c r="C81" s="533"/>
      <c r="D81" s="533"/>
      <c r="E81" s="533"/>
      <c r="F81" s="533"/>
      <c r="G81" s="533"/>
      <c r="H81" s="533"/>
      <c r="I81" s="533"/>
    </row>
    <row r="82" spans="2:9" ht="15.75" customHeight="1">
      <c r="B82" s="533"/>
      <c r="C82" s="533"/>
      <c r="D82" s="533"/>
      <c r="E82" s="533"/>
      <c r="F82" s="533"/>
      <c r="G82" s="533"/>
      <c r="H82" s="533"/>
      <c r="I82" s="533"/>
    </row>
    <row r="83" spans="2:9" ht="15.75" customHeight="1">
      <c r="B83" s="533"/>
      <c r="C83" s="533"/>
      <c r="D83" s="533"/>
      <c r="E83" s="533"/>
      <c r="F83" s="533"/>
      <c r="G83" s="533"/>
      <c r="H83" s="533"/>
      <c r="I83" s="533"/>
    </row>
    <row r="84" spans="2:9" ht="15.75" customHeight="1">
      <c r="B84" s="533"/>
      <c r="C84" s="533"/>
      <c r="D84" s="533"/>
      <c r="E84" s="533"/>
      <c r="F84" s="533"/>
      <c r="G84" s="533"/>
      <c r="H84" s="533"/>
      <c r="I84" s="533"/>
    </row>
    <row r="85" spans="2:9" ht="15.75" customHeight="1">
      <c r="B85" s="533"/>
      <c r="C85" s="533"/>
      <c r="D85" s="533"/>
      <c r="E85" s="533"/>
      <c r="F85" s="533"/>
      <c r="G85" s="533"/>
      <c r="H85" s="533"/>
      <c r="I85" s="533"/>
    </row>
    <row r="86" spans="2:9" ht="15.75" customHeight="1">
      <c r="B86" s="533"/>
      <c r="C86" s="533"/>
      <c r="D86" s="533"/>
      <c r="E86" s="533"/>
      <c r="F86" s="533"/>
      <c r="G86" s="533"/>
      <c r="H86" s="533"/>
      <c r="I86" s="533"/>
    </row>
    <row r="87" spans="2:9" ht="15.75" customHeight="1">
      <c r="B87" s="533"/>
      <c r="C87" s="533"/>
      <c r="D87" s="533"/>
      <c r="E87" s="533"/>
      <c r="F87" s="533"/>
      <c r="G87" s="533"/>
      <c r="H87" s="533"/>
      <c r="I87" s="533"/>
    </row>
    <row r="88" spans="2:9" ht="15.75" customHeight="1">
      <c r="B88" s="533"/>
      <c r="C88" s="533"/>
      <c r="D88" s="533"/>
      <c r="E88" s="533"/>
      <c r="F88" s="533"/>
      <c r="G88" s="533"/>
      <c r="H88" s="533"/>
      <c r="I88" s="533"/>
    </row>
    <row r="89" spans="2:9" ht="15.75" customHeight="1">
      <c r="B89" s="533"/>
      <c r="C89" s="533"/>
      <c r="D89" s="533"/>
      <c r="E89" s="533"/>
      <c r="F89" s="533"/>
      <c r="G89" s="533"/>
      <c r="H89" s="533"/>
      <c r="I89" s="533"/>
    </row>
    <row r="90" spans="2:9" ht="15.75" customHeight="1">
      <c r="B90" s="533"/>
      <c r="C90" s="533"/>
      <c r="D90" s="533"/>
      <c r="E90" s="533"/>
      <c r="F90" s="533"/>
      <c r="G90" s="533"/>
      <c r="H90" s="533"/>
      <c r="I90" s="533"/>
    </row>
    <row r="91" spans="2:9" ht="15.75" customHeight="1">
      <c r="B91" s="533"/>
      <c r="C91" s="533"/>
      <c r="D91" s="533"/>
      <c r="E91" s="533"/>
      <c r="F91" s="533"/>
      <c r="G91" s="533"/>
      <c r="H91" s="533"/>
      <c r="I91" s="533"/>
    </row>
    <row r="92" spans="2:9" ht="15.75" customHeight="1">
      <c r="B92" s="533"/>
      <c r="C92" s="533"/>
      <c r="D92" s="533"/>
      <c r="E92" s="533"/>
      <c r="F92" s="533"/>
      <c r="G92" s="533"/>
      <c r="H92" s="533"/>
      <c r="I92" s="533"/>
    </row>
    <row r="93" spans="2:9" ht="15.75" customHeight="1">
      <c r="B93" s="533"/>
      <c r="C93" s="533"/>
      <c r="D93" s="533"/>
      <c r="E93" s="533"/>
      <c r="F93" s="533"/>
      <c r="G93" s="533"/>
      <c r="H93" s="533"/>
      <c r="I93" s="533"/>
    </row>
    <row r="94" spans="2:9" ht="15.75" customHeight="1">
      <c r="B94" s="533"/>
      <c r="C94" s="533"/>
      <c r="D94" s="533"/>
      <c r="E94" s="533"/>
      <c r="F94" s="533"/>
      <c r="G94" s="533"/>
      <c r="H94" s="533"/>
      <c r="I94" s="533"/>
    </row>
    <row r="95" spans="2:9" ht="15.75" customHeight="1">
      <c r="B95" s="533"/>
      <c r="C95" s="533"/>
      <c r="D95" s="533"/>
      <c r="E95" s="533"/>
      <c r="F95" s="533"/>
      <c r="G95" s="533"/>
      <c r="H95" s="533"/>
      <c r="I95" s="533"/>
    </row>
    <row r="96" spans="2:9" ht="15.75" customHeight="1">
      <c r="B96" s="533"/>
      <c r="C96" s="533"/>
      <c r="D96" s="533"/>
      <c r="E96" s="533"/>
      <c r="F96" s="533"/>
      <c r="G96" s="533"/>
      <c r="H96" s="533"/>
      <c r="I96" s="533"/>
    </row>
    <row r="97" spans="2:9" ht="15.75" customHeight="1">
      <c r="B97" s="533"/>
      <c r="C97" s="533"/>
      <c r="D97" s="533"/>
      <c r="E97" s="533"/>
      <c r="F97" s="533"/>
      <c r="G97" s="533"/>
      <c r="H97" s="533"/>
      <c r="I97" s="533"/>
    </row>
    <row r="98" spans="2:9" ht="15.75" customHeight="1">
      <c r="B98" s="533"/>
      <c r="C98" s="533"/>
      <c r="D98" s="533"/>
      <c r="E98" s="533"/>
      <c r="F98" s="533"/>
      <c r="G98" s="533"/>
      <c r="H98" s="533"/>
      <c r="I98" s="533"/>
    </row>
    <row r="99" spans="2:9" ht="15.75" customHeight="1">
      <c r="B99" s="533"/>
      <c r="C99" s="533"/>
      <c r="D99" s="533"/>
      <c r="E99" s="533"/>
      <c r="F99" s="533"/>
      <c r="G99" s="533"/>
      <c r="H99" s="533"/>
      <c r="I99" s="533"/>
    </row>
    <row r="100" spans="2:9" ht="15.75" customHeight="1">
      <c r="B100" s="533"/>
      <c r="C100" s="533"/>
      <c r="D100" s="533"/>
      <c r="E100" s="533"/>
      <c r="F100" s="533"/>
      <c r="G100" s="533"/>
      <c r="H100" s="533"/>
      <c r="I100" s="533"/>
    </row>
    <row r="101" spans="2:9" ht="15.75" customHeight="1">
      <c r="B101" s="533"/>
      <c r="C101" s="533"/>
      <c r="D101" s="533"/>
      <c r="E101" s="533"/>
      <c r="F101" s="533"/>
      <c r="G101" s="533"/>
      <c r="H101" s="533"/>
      <c r="I101" s="533"/>
    </row>
    <row r="102" spans="2:9" ht="15.75" customHeight="1">
      <c r="B102" s="533"/>
      <c r="C102" s="533"/>
      <c r="D102" s="533"/>
      <c r="E102" s="533"/>
      <c r="F102" s="533"/>
      <c r="G102" s="533"/>
      <c r="H102" s="533"/>
      <c r="I102" s="533"/>
    </row>
    <row r="103" spans="2:9" ht="15.75" customHeight="1">
      <c r="B103" s="533"/>
      <c r="C103" s="533"/>
      <c r="D103" s="533"/>
      <c r="E103" s="533"/>
      <c r="F103" s="533"/>
      <c r="G103" s="533"/>
      <c r="H103" s="533"/>
      <c r="I103" s="533"/>
    </row>
    <row r="104" spans="2:9" ht="15.75" customHeight="1">
      <c r="B104" s="533"/>
      <c r="C104" s="533"/>
      <c r="D104" s="533"/>
      <c r="E104" s="533"/>
      <c r="F104" s="533"/>
      <c r="G104" s="533"/>
      <c r="H104" s="533"/>
      <c r="I104" s="533"/>
    </row>
    <row r="105" spans="2:9" ht="15.75" customHeight="1">
      <c r="B105" s="533"/>
      <c r="C105" s="533"/>
      <c r="D105" s="533"/>
      <c r="E105" s="533"/>
      <c r="F105" s="533"/>
      <c r="G105" s="533"/>
      <c r="H105" s="533"/>
      <c r="I105" s="533"/>
    </row>
    <row r="106" spans="2:9" ht="15.75" customHeight="1">
      <c r="B106" s="533"/>
      <c r="C106" s="533"/>
      <c r="D106" s="533"/>
      <c r="E106" s="533"/>
      <c r="F106" s="533"/>
      <c r="G106" s="533"/>
      <c r="H106" s="533"/>
      <c r="I106" s="533"/>
    </row>
    <row r="107" spans="2:9" ht="15.75" customHeight="1">
      <c r="B107" s="533"/>
      <c r="C107" s="533"/>
      <c r="D107" s="533"/>
      <c r="E107" s="533"/>
      <c r="F107" s="533"/>
      <c r="G107" s="533"/>
      <c r="H107" s="533"/>
      <c r="I107" s="533"/>
    </row>
    <row r="108" spans="2:9" ht="15.75" customHeight="1">
      <c r="B108" s="533"/>
      <c r="C108" s="533"/>
      <c r="D108" s="533"/>
      <c r="E108" s="533"/>
      <c r="F108" s="533"/>
      <c r="G108" s="533"/>
      <c r="H108" s="533"/>
      <c r="I108" s="533"/>
    </row>
    <row r="109" spans="2:9" ht="15.75" customHeight="1">
      <c r="B109" s="533"/>
      <c r="C109" s="533"/>
      <c r="D109" s="533"/>
      <c r="E109" s="533"/>
      <c r="F109" s="533"/>
      <c r="G109" s="533"/>
      <c r="H109" s="533"/>
      <c r="I109" s="533"/>
    </row>
    <row r="110" spans="2:9" ht="15.75" customHeight="1">
      <c r="B110" s="533"/>
      <c r="C110" s="533"/>
      <c r="D110" s="533"/>
      <c r="E110" s="533"/>
      <c r="F110" s="533"/>
      <c r="G110" s="533"/>
      <c r="H110" s="533"/>
      <c r="I110" s="533"/>
    </row>
    <row r="111" spans="2:9" ht="15.75" customHeight="1">
      <c r="B111" s="533"/>
      <c r="C111" s="533"/>
      <c r="D111" s="533"/>
      <c r="E111" s="533"/>
      <c r="F111" s="533"/>
      <c r="G111" s="533"/>
      <c r="H111" s="533"/>
      <c r="I111" s="533"/>
    </row>
    <row r="112" spans="2:9" ht="15.75" customHeight="1">
      <c r="B112" s="533"/>
      <c r="C112" s="533"/>
      <c r="D112" s="533"/>
      <c r="E112" s="533"/>
      <c r="F112" s="533"/>
      <c r="G112" s="533"/>
      <c r="H112" s="533"/>
      <c r="I112" s="533"/>
    </row>
    <row r="113" spans="2:9" ht="15.75" customHeight="1">
      <c r="B113" s="533"/>
      <c r="C113" s="533"/>
      <c r="D113" s="533"/>
      <c r="E113" s="533"/>
      <c r="F113" s="533"/>
      <c r="G113" s="533"/>
      <c r="H113" s="533"/>
      <c r="I113" s="533"/>
    </row>
    <row r="114" spans="2:9" ht="15.75" customHeight="1">
      <c r="B114" s="533"/>
      <c r="C114" s="533"/>
      <c r="D114" s="533"/>
      <c r="E114" s="533"/>
      <c r="F114" s="533"/>
      <c r="G114" s="533"/>
      <c r="H114" s="533"/>
      <c r="I114" s="533"/>
    </row>
    <row r="115" spans="2:9" ht="15.75" customHeight="1">
      <c r="B115" s="533"/>
      <c r="C115" s="533"/>
      <c r="D115" s="533"/>
      <c r="E115" s="533"/>
      <c r="F115" s="533"/>
      <c r="G115" s="533"/>
      <c r="H115" s="533"/>
      <c r="I115" s="533"/>
    </row>
    <row r="116" spans="2:9" ht="15.75" customHeight="1">
      <c r="B116" s="533"/>
      <c r="C116" s="533"/>
      <c r="D116" s="533"/>
      <c r="E116" s="533"/>
      <c r="F116" s="533"/>
      <c r="G116" s="533"/>
      <c r="H116" s="533"/>
      <c r="I116" s="533"/>
    </row>
    <row r="117" spans="2:9" ht="15.75" customHeight="1">
      <c r="B117" s="533"/>
      <c r="C117" s="533"/>
      <c r="D117" s="533"/>
      <c r="E117" s="533"/>
      <c r="F117" s="533"/>
      <c r="G117" s="533"/>
      <c r="H117" s="533"/>
      <c r="I117" s="533"/>
    </row>
    <row r="118" spans="2:9" ht="15.75" customHeight="1">
      <c r="B118" s="533"/>
      <c r="C118" s="533"/>
      <c r="D118" s="533"/>
      <c r="E118" s="533"/>
      <c r="F118" s="533"/>
      <c r="G118" s="533"/>
      <c r="H118" s="533"/>
      <c r="I118" s="533"/>
    </row>
    <row r="119" spans="2:9" ht="15.75" customHeight="1">
      <c r="B119" s="533"/>
      <c r="C119" s="533"/>
      <c r="D119" s="533"/>
      <c r="E119" s="533"/>
      <c r="F119" s="533"/>
      <c r="G119" s="533"/>
      <c r="H119" s="533"/>
      <c r="I119" s="533"/>
    </row>
    <row r="120" spans="2:9" ht="15.75" customHeight="1">
      <c r="B120" s="533"/>
      <c r="C120" s="533"/>
      <c r="D120" s="533"/>
      <c r="E120" s="533"/>
      <c r="F120" s="533"/>
      <c r="G120" s="533"/>
      <c r="H120" s="533"/>
      <c r="I120" s="533"/>
    </row>
    <row r="121" spans="2:9" ht="15.75" customHeight="1">
      <c r="B121" s="533"/>
      <c r="C121" s="533"/>
      <c r="D121" s="533"/>
      <c r="E121" s="533"/>
      <c r="F121" s="533"/>
      <c r="G121" s="533"/>
      <c r="H121" s="533"/>
      <c r="I121" s="533"/>
    </row>
    <row r="122" spans="2:9" ht="15.75" customHeight="1">
      <c r="B122" s="533"/>
      <c r="C122" s="533"/>
      <c r="D122" s="533"/>
      <c r="E122" s="533"/>
      <c r="F122" s="533"/>
      <c r="G122" s="533"/>
      <c r="H122" s="533"/>
      <c r="I122" s="533"/>
    </row>
    <row r="123" spans="2:9" ht="15.75" customHeight="1">
      <c r="B123" s="533"/>
      <c r="C123" s="533"/>
      <c r="D123" s="533"/>
      <c r="E123" s="533"/>
      <c r="F123" s="533"/>
      <c r="G123" s="533"/>
      <c r="H123" s="533"/>
      <c r="I123" s="533"/>
    </row>
    <row r="124" spans="2:9" ht="15.75" customHeight="1">
      <c r="B124" s="533"/>
      <c r="C124" s="533"/>
      <c r="D124" s="533"/>
      <c r="E124" s="533"/>
      <c r="F124" s="533"/>
      <c r="G124" s="533"/>
      <c r="H124" s="533"/>
      <c r="I124" s="533"/>
    </row>
    <row r="125" spans="2:9" ht="15.75" customHeight="1">
      <c r="B125" s="533"/>
      <c r="C125" s="533"/>
      <c r="D125" s="533"/>
      <c r="E125" s="533"/>
      <c r="F125" s="533"/>
      <c r="G125" s="533"/>
      <c r="H125" s="533"/>
      <c r="I125" s="533"/>
    </row>
    <row r="126" spans="2:9" ht="15.75" customHeight="1">
      <c r="B126" s="533"/>
      <c r="C126" s="533"/>
      <c r="D126" s="533"/>
      <c r="E126" s="533"/>
      <c r="F126" s="533"/>
      <c r="G126" s="533"/>
      <c r="H126" s="533"/>
      <c r="I126" s="533"/>
    </row>
    <row r="127" spans="2:9" ht="15.75" customHeight="1">
      <c r="B127" s="533"/>
      <c r="C127" s="533"/>
      <c r="D127" s="533"/>
      <c r="E127" s="533"/>
      <c r="F127" s="533"/>
      <c r="G127" s="533"/>
      <c r="H127" s="533"/>
      <c r="I127" s="533"/>
    </row>
    <row r="128" spans="2:9" ht="15.75" customHeight="1">
      <c r="B128" s="533"/>
      <c r="C128" s="533"/>
      <c r="D128" s="533"/>
      <c r="E128" s="533"/>
      <c r="F128" s="533"/>
      <c r="G128" s="533"/>
      <c r="H128" s="533"/>
      <c r="I128" s="533"/>
    </row>
    <row r="129" spans="2:9" ht="15.75" customHeight="1">
      <c r="B129" s="533"/>
      <c r="C129" s="533"/>
      <c r="D129" s="533"/>
      <c r="E129" s="533"/>
      <c r="F129" s="533"/>
      <c r="G129" s="533"/>
      <c r="H129" s="533"/>
      <c r="I129" s="533"/>
    </row>
    <row r="130" spans="2:9" ht="15.75" customHeight="1">
      <c r="B130" s="533"/>
      <c r="C130" s="533"/>
      <c r="D130" s="533"/>
      <c r="E130" s="533"/>
      <c r="F130" s="533"/>
      <c r="G130" s="533"/>
      <c r="H130" s="533"/>
      <c r="I130" s="533"/>
    </row>
    <row r="131" spans="2:9" ht="15.75" customHeight="1">
      <c r="B131" s="533"/>
      <c r="C131" s="533"/>
      <c r="D131" s="533"/>
      <c r="E131" s="533"/>
      <c r="F131" s="533"/>
      <c r="G131" s="533"/>
      <c r="H131" s="533"/>
      <c r="I131" s="533"/>
    </row>
    <row r="132" spans="2:9" ht="15.75" customHeight="1">
      <c r="B132" s="533"/>
      <c r="C132" s="533"/>
      <c r="D132" s="533"/>
      <c r="E132" s="533"/>
      <c r="F132" s="533"/>
      <c r="G132" s="533"/>
      <c r="H132" s="533"/>
      <c r="I132" s="533"/>
    </row>
    <row r="133" spans="2:9" ht="15.75" customHeight="1">
      <c r="B133" s="533"/>
      <c r="C133" s="533"/>
      <c r="D133" s="533"/>
      <c r="E133" s="533"/>
      <c r="F133" s="533"/>
      <c r="G133" s="533"/>
      <c r="H133" s="533"/>
      <c r="I133" s="533"/>
    </row>
    <row r="134" spans="2:9" ht="15.75" customHeight="1">
      <c r="B134" s="533"/>
      <c r="C134" s="533"/>
      <c r="D134" s="533"/>
      <c r="E134" s="533"/>
      <c r="F134" s="533"/>
      <c r="G134" s="533"/>
      <c r="H134" s="533"/>
      <c r="I134" s="533"/>
    </row>
    <row r="135" spans="2:9" ht="15.75" customHeight="1">
      <c r="B135" s="533"/>
      <c r="C135" s="533"/>
      <c r="D135" s="533"/>
      <c r="E135" s="533"/>
      <c r="F135" s="533"/>
      <c r="G135" s="533"/>
      <c r="H135" s="533"/>
      <c r="I135" s="533"/>
    </row>
    <row r="136" spans="2:9" ht="15.75" customHeight="1">
      <c r="B136" s="533"/>
      <c r="C136" s="533"/>
      <c r="D136" s="533"/>
      <c r="E136" s="533"/>
      <c r="F136" s="533"/>
      <c r="G136" s="533"/>
      <c r="H136" s="533"/>
      <c r="I136" s="533"/>
    </row>
    <row r="137" spans="2:9" ht="15.75" customHeight="1">
      <c r="B137" s="533"/>
      <c r="C137" s="533"/>
      <c r="D137" s="533"/>
      <c r="E137" s="533"/>
      <c r="F137" s="533"/>
      <c r="G137" s="533"/>
      <c r="H137" s="533"/>
      <c r="I137" s="533"/>
    </row>
    <row r="138" spans="2:9" ht="15.75" customHeight="1">
      <c r="B138" s="533"/>
      <c r="C138" s="533"/>
      <c r="D138" s="533"/>
      <c r="E138" s="533"/>
      <c r="F138" s="533"/>
      <c r="G138" s="533"/>
      <c r="H138" s="533"/>
      <c r="I138" s="533"/>
    </row>
    <row r="139" spans="2:9" ht="15.75" customHeight="1">
      <c r="B139" s="533"/>
      <c r="C139" s="533"/>
      <c r="D139" s="533"/>
      <c r="E139" s="533"/>
      <c r="F139" s="533"/>
      <c r="G139" s="533"/>
      <c r="H139" s="533"/>
      <c r="I139" s="533"/>
    </row>
    <row r="140" spans="2:9" ht="15.75" customHeight="1">
      <c r="B140" s="533"/>
      <c r="C140" s="533"/>
      <c r="D140" s="533"/>
      <c r="E140" s="533"/>
      <c r="F140" s="533"/>
      <c r="G140" s="533"/>
      <c r="H140" s="533"/>
      <c r="I140" s="533"/>
    </row>
    <row r="141" spans="2:9" ht="15.75" customHeight="1">
      <c r="B141" s="533"/>
      <c r="C141" s="533"/>
      <c r="D141" s="533"/>
      <c r="E141" s="533"/>
      <c r="F141" s="533"/>
      <c r="G141" s="533"/>
      <c r="H141" s="533"/>
      <c r="I141" s="533"/>
    </row>
    <row r="142" spans="2:9" ht="15.75" customHeight="1">
      <c r="B142" s="533"/>
      <c r="C142" s="533"/>
      <c r="D142" s="533"/>
      <c r="E142" s="533"/>
      <c r="F142" s="533"/>
      <c r="G142" s="533"/>
      <c r="H142" s="533"/>
      <c r="I142" s="533"/>
    </row>
    <row r="143" spans="2:9" ht="15.75" customHeight="1">
      <c r="B143" s="533"/>
      <c r="C143" s="533"/>
      <c r="D143" s="533"/>
      <c r="E143" s="533"/>
      <c r="F143" s="533"/>
      <c r="G143" s="533"/>
      <c r="H143" s="533"/>
      <c r="I143" s="533"/>
    </row>
    <row r="144" spans="2:9" ht="15.75" customHeight="1">
      <c r="B144" s="533"/>
      <c r="C144" s="533"/>
      <c r="D144" s="533"/>
      <c r="E144" s="533"/>
      <c r="F144" s="533"/>
      <c r="G144" s="533"/>
      <c r="H144" s="533"/>
      <c r="I144" s="533"/>
    </row>
    <row r="145" spans="2:9" ht="15.75" customHeight="1">
      <c r="B145" s="533"/>
      <c r="C145" s="533"/>
      <c r="D145" s="533"/>
      <c r="E145" s="533"/>
      <c r="F145" s="533"/>
      <c r="G145" s="533"/>
      <c r="H145" s="533"/>
      <c r="I145" s="533"/>
    </row>
    <row r="146" spans="2:9" ht="15.75" customHeight="1">
      <c r="B146" s="533"/>
      <c r="C146" s="533"/>
      <c r="D146" s="533"/>
      <c r="E146" s="533"/>
      <c r="F146" s="533"/>
      <c r="G146" s="533"/>
      <c r="H146" s="533"/>
      <c r="I146" s="533"/>
    </row>
    <row r="147" spans="2:9" ht="15.75" customHeight="1">
      <c r="B147" s="533"/>
      <c r="C147" s="533"/>
      <c r="D147" s="533"/>
      <c r="E147" s="533"/>
      <c r="F147" s="533"/>
      <c r="G147" s="533"/>
      <c r="H147" s="533"/>
      <c r="I147" s="533"/>
    </row>
    <row r="148" spans="2:9" ht="15.75" customHeight="1">
      <c r="B148" s="533"/>
      <c r="C148" s="533"/>
      <c r="D148" s="533"/>
      <c r="E148" s="533"/>
      <c r="F148" s="533"/>
      <c r="G148" s="533"/>
      <c r="H148" s="533"/>
      <c r="I148" s="533"/>
    </row>
    <row r="149" spans="2:9" ht="15.75" customHeight="1">
      <c r="B149" s="533"/>
      <c r="C149" s="533"/>
      <c r="D149" s="533"/>
      <c r="E149" s="533"/>
      <c r="F149" s="533"/>
      <c r="G149" s="533"/>
      <c r="H149" s="533"/>
      <c r="I149" s="533"/>
    </row>
    <row r="150" spans="2:9" ht="15.75" customHeight="1">
      <c r="B150" s="533"/>
      <c r="C150" s="533"/>
      <c r="D150" s="533"/>
      <c r="E150" s="533"/>
      <c r="F150" s="533"/>
      <c r="G150" s="533"/>
      <c r="H150" s="533"/>
      <c r="I150" s="533"/>
    </row>
    <row r="151" spans="2:9" ht="15.75" customHeight="1">
      <c r="B151" s="533"/>
      <c r="C151" s="533"/>
      <c r="D151" s="533"/>
      <c r="E151" s="533"/>
      <c r="F151" s="533"/>
      <c r="G151" s="533"/>
      <c r="H151" s="533"/>
      <c r="I151" s="533"/>
    </row>
    <row r="152" spans="2:9" ht="15.75" customHeight="1">
      <c r="B152" s="533"/>
      <c r="C152" s="533"/>
      <c r="D152" s="533"/>
      <c r="E152" s="533"/>
      <c r="F152" s="533"/>
      <c r="G152" s="533"/>
      <c r="H152" s="533"/>
      <c r="I152" s="533"/>
    </row>
    <row r="153" spans="2:9" ht="15.75" customHeight="1">
      <c r="B153" s="533"/>
      <c r="C153" s="533"/>
      <c r="D153" s="533"/>
      <c r="E153" s="533"/>
      <c r="F153" s="533"/>
      <c r="G153" s="533"/>
      <c r="H153" s="533"/>
      <c r="I153" s="533"/>
    </row>
    <row r="154" spans="2:9" ht="15.75" customHeight="1">
      <c r="B154" s="533"/>
      <c r="C154" s="533"/>
      <c r="D154" s="533"/>
      <c r="E154" s="533"/>
      <c r="F154" s="533"/>
      <c r="G154" s="533"/>
      <c r="H154" s="533"/>
      <c r="I154" s="533"/>
    </row>
    <row r="155" spans="2:9" ht="15.75" customHeight="1">
      <c r="B155" s="533"/>
      <c r="C155" s="533"/>
      <c r="D155" s="533"/>
      <c r="E155" s="533"/>
      <c r="F155" s="533"/>
      <c r="G155" s="533"/>
      <c r="H155" s="533"/>
      <c r="I155" s="533"/>
    </row>
    <row r="156" spans="2:9" ht="15.75" customHeight="1">
      <c r="B156" s="533"/>
      <c r="C156" s="533"/>
      <c r="D156" s="533"/>
      <c r="E156" s="533"/>
      <c r="F156" s="533"/>
      <c r="G156" s="533"/>
      <c r="H156" s="533"/>
      <c r="I156" s="533"/>
    </row>
    <row r="157" spans="2:9" ht="15.75" customHeight="1">
      <c r="B157" s="533"/>
      <c r="C157" s="533"/>
      <c r="D157" s="533"/>
      <c r="E157" s="533"/>
      <c r="F157" s="533"/>
      <c r="G157" s="533"/>
      <c r="H157" s="533"/>
      <c r="I157" s="533"/>
    </row>
    <row r="158" spans="2:9" ht="15.75" customHeight="1">
      <c r="B158" s="533"/>
      <c r="C158" s="533"/>
      <c r="D158" s="533"/>
      <c r="E158" s="533"/>
      <c r="F158" s="533"/>
      <c r="G158" s="533"/>
      <c r="H158" s="533"/>
      <c r="I158" s="533"/>
    </row>
    <row r="159" spans="2:9" ht="15.75" customHeight="1">
      <c r="B159" s="533"/>
      <c r="C159" s="533"/>
      <c r="D159" s="533"/>
      <c r="E159" s="533"/>
      <c r="F159" s="533"/>
      <c r="G159" s="533"/>
      <c r="H159" s="533"/>
      <c r="I159" s="533"/>
    </row>
    <row r="160" spans="2:9" ht="15.75" customHeight="1">
      <c r="B160" s="533"/>
      <c r="C160" s="533"/>
      <c r="D160" s="533"/>
      <c r="E160" s="533"/>
      <c r="F160" s="533"/>
      <c r="G160" s="533"/>
      <c r="H160" s="533"/>
      <c r="I160" s="533"/>
    </row>
    <row r="161" spans="2:9" ht="15.75" customHeight="1">
      <c r="B161" s="533"/>
      <c r="C161" s="533"/>
      <c r="D161" s="533"/>
      <c r="E161" s="533"/>
      <c r="F161" s="533"/>
      <c r="G161" s="533"/>
      <c r="H161" s="533"/>
      <c r="I161" s="533"/>
    </row>
    <row r="162" spans="2:9" ht="15.75" customHeight="1">
      <c r="B162" s="533"/>
      <c r="C162" s="533"/>
      <c r="D162" s="533"/>
      <c r="E162" s="533"/>
      <c r="F162" s="533"/>
      <c r="G162" s="533"/>
      <c r="H162" s="533"/>
      <c r="I162" s="533"/>
    </row>
    <row r="163" spans="2:9" ht="15.75" customHeight="1">
      <c r="B163" s="533"/>
      <c r="C163" s="533"/>
      <c r="D163" s="533"/>
      <c r="E163" s="533"/>
      <c r="F163" s="533"/>
      <c r="G163" s="533"/>
      <c r="H163" s="533"/>
      <c r="I163" s="533"/>
    </row>
    <row r="164" spans="2:9" ht="15.75" customHeight="1">
      <c r="B164" s="533"/>
      <c r="C164" s="533"/>
      <c r="D164" s="533"/>
      <c r="E164" s="533"/>
      <c r="F164" s="533"/>
      <c r="G164" s="533"/>
      <c r="H164" s="533"/>
      <c r="I164" s="533"/>
    </row>
    <row r="165" spans="2:9" ht="15.75" customHeight="1">
      <c r="B165" s="533"/>
      <c r="C165" s="533"/>
      <c r="D165" s="533"/>
      <c r="E165" s="533"/>
      <c r="F165" s="533"/>
      <c r="G165" s="533"/>
      <c r="H165" s="533"/>
      <c r="I165" s="533"/>
    </row>
    <row r="166" spans="2:9" ht="15.75" customHeight="1">
      <c r="B166" s="533"/>
      <c r="C166" s="533"/>
      <c r="D166" s="533"/>
      <c r="E166" s="533"/>
      <c r="F166" s="533"/>
      <c r="G166" s="533"/>
      <c r="H166" s="533"/>
      <c r="I166" s="533"/>
    </row>
    <row r="167" spans="2:9" ht="15.75" customHeight="1">
      <c r="B167" s="533"/>
      <c r="C167" s="533"/>
      <c r="D167" s="533"/>
      <c r="E167" s="533"/>
      <c r="F167" s="533"/>
      <c r="G167" s="533"/>
      <c r="H167" s="533"/>
      <c r="I167" s="533"/>
    </row>
    <row r="168" spans="2:9" ht="15.75" customHeight="1">
      <c r="B168" s="533"/>
      <c r="C168" s="533"/>
      <c r="D168" s="533"/>
      <c r="E168" s="533"/>
      <c r="F168" s="533"/>
      <c r="G168" s="533"/>
      <c r="H168" s="533"/>
      <c r="I168" s="533"/>
    </row>
    <row r="169" spans="2:9" ht="15.75" customHeight="1">
      <c r="B169" s="533"/>
      <c r="C169" s="533"/>
      <c r="D169" s="533"/>
      <c r="E169" s="533"/>
      <c r="F169" s="533"/>
      <c r="G169" s="533"/>
      <c r="H169" s="533"/>
      <c r="I169" s="533"/>
    </row>
    <row r="170" spans="2:9" ht="15.75" customHeight="1">
      <c r="B170" s="533"/>
      <c r="C170" s="533"/>
      <c r="D170" s="533"/>
      <c r="E170" s="533"/>
      <c r="F170" s="533"/>
      <c r="G170" s="533"/>
      <c r="H170" s="533"/>
      <c r="I170" s="533"/>
    </row>
    <row r="171" spans="2:9" ht="15.75" customHeight="1">
      <c r="B171" s="533"/>
      <c r="C171" s="533"/>
      <c r="D171" s="533"/>
      <c r="E171" s="533"/>
      <c r="F171" s="533"/>
      <c r="G171" s="533"/>
      <c r="H171" s="533"/>
      <c r="I171" s="533"/>
    </row>
    <row r="172" spans="2:9" ht="15.75" customHeight="1">
      <c r="B172" s="533"/>
      <c r="C172" s="533"/>
      <c r="D172" s="533"/>
      <c r="E172" s="533"/>
      <c r="F172" s="533"/>
      <c r="G172" s="533"/>
      <c r="H172" s="533"/>
      <c r="I172" s="533"/>
    </row>
    <row r="173" spans="2:9" ht="15.75" customHeight="1">
      <c r="B173" s="533"/>
      <c r="C173" s="533"/>
      <c r="D173" s="533"/>
      <c r="E173" s="533"/>
      <c r="F173" s="533"/>
      <c r="G173" s="533"/>
      <c r="H173" s="533"/>
      <c r="I173" s="533"/>
    </row>
    <row r="174" spans="2:9" ht="15.75" customHeight="1">
      <c r="B174" s="533"/>
      <c r="C174" s="533"/>
      <c r="D174" s="533"/>
      <c r="E174" s="533"/>
      <c r="F174" s="533"/>
      <c r="G174" s="533"/>
      <c r="H174" s="533"/>
      <c r="I174" s="533"/>
    </row>
    <row r="175" spans="2:9" ht="15.75" customHeight="1">
      <c r="B175" s="533"/>
      <c r="C175" s="533"/>
      <c r="D175" s="533"/>
      <c r="E175" s="533"/>
      <c r="F175" s="533"/>
      <c r="G175" s="533"/>
      <c r="H175" s="533"/>
      <c r="I175" s="533"/>
    </row>
    <row r="176" spans="2:9" ht="15.75" customHeight="1">
      <c r="B176" s="533"/>
      <c r="C176" s="533"/>
      <c r="D176" s="533"/>
      <c r="E176" s="533"/>
      <c r="F176" s="533"/>
      <c r="G176" s="533"/>
      <c r="H176" s="533"/>
      <c r="I176" s="533"/>
    </row>
    <row r="177" spans="2:9" ht="15.75" customHeight="1">
      <c r="B177" s="533"/>
      <c r="C177" s="533"/>
      <c r="D177" s="533"/>
      <c r="E177" s="533"/>
      <c r="F177" s="533"/>
      <c r="G177" s="533"/>
      <c r="H177" s="533"/>
      <c r="I177" s="533"/>
    </row>
    <row r="178" spans="2:9" ht="15.75" customHeight="1">
      <c r="B178" s="533"/>
      <c r="C178" s="533"/>
      <c r="D178" s="533"/>
      <c r="E178" s="533"/>
      <c r="F178" s="533"/>
      <c r="G178" s="533"/>
      <c r="H178" s="533"/>
      <c r="I178" s="533"/>
    </row>
    <row r="179" spans="2:9" ht="15.75" customHeight="1">
      <c r="B179" s="533"/>
      <c r="C179" s="533"/>
      <c r="D179" s="533"/>
      <c r="E179" s="533"/>
      <c r="F179" s="533"/>
      <c r="G179" s="533"/>
      <c r="H179" s="533"/>
      <c r="I179" s="533"/>
    </row>
    <row r="180" spans="2:9" ht="15.75" customHeight="1">
      <c r="B180" s="533"/>
      <c r="C180" s="533"/>
      <c r="D180" s="533"/>
      <c r="E180" s="533"/>
      <c r="F180" s="533"/>
      <c r="G180" s="533"/>
      <c r="H180" s="533"/>
      <c r="I180" s="533"/>
    </row>
    <row r="181" spans="2:9" ht="15.75" customHeight="1">
      <c r="B181" s="533"/>
      <c r="C181" s="533"/>
      <c r="D181" s="533"/>
      <c r="E181" s="533"/>
      <c r="F181" s="533"/>
      <c r="G181" s="533"/>
      <c r="H181" s="533"/>
      <c r="I181" s="533"/>
    </row>
    <row r="182" spans="2:9" ht="15.75" customHeight="1">
      <c r="B182" s="533"/>
      <c r="C182" s="533"/>
      <c r="D182" s="533"/>
      <c r="E182" s="533"/>
      <c r="F182" s="533"/>
      <c r="G182" s="533"/>
      <c r="H182" s="533"/>
      <c r="I182" s="533"/>
    </row>
    <row r="183" spans="2:9" ht="15.75" customHeight="1">
      <c r="B183" s="533"/>
      <c r="C183" s="533"/>
      <c r="D183" s="533"/>
      <c r="E183" s="533"/>
      <c r="F183" s="533"/>
      <c r="G183" s="533"/>
      <c r="H183" s="533"/>
      <c r="I183" s="533"/>
    </row>
    <row r="184" spans="2:9" ht="15.75" customHeight="1">
      <c r="B184" s="533"/>
      <c r="C184" s="533"/>
      <c r="D184" s="533"/>
      <c r="E184" s="533"/>
      <c r="F184" s="533"/>
      <c r="G184" s="533"/>
      <c r="H184" s="533"/>
      <c r="I184" s="533"/>
    </row>
    <row r="185" spans="2:9" ht="15.75" customHeight="1">
      <c r="B185" s="533"/>
      <c r="C185" s="533"/>
      <c r="D185" s="533"/>
      <c r="E185" s="533"/>
      <c r="F185" s="533"/>
      <c r="G185" s="533"/>
      <c r="H185" s="533"/>
      <c r="I185" s="533"/>
    </row>
    <row r="186" spans="2:9" ht="15.75" customHeight="1">
      <c r="B186" s="533"/>
      <c r="C186" s="533"/>
      <c r="D186" s="533"/>
      <c r="E186" s="533"/>
      <c r="F186" s="533"/>
      <c r="G186" s="533"/>
      <c r="H186" s="533"/>
      <c r="I186" s="533"/>
    </row>
    <row r="187" spans="2:9" ht="15.75" customHeight="1">
      <c r="B187" s="533"/>
      <c r="C187" s="533"/>
      <c r="D187" s="533"/>
      <c r="E187" s="533"/>
      <c r="F187" s="533"/>
      <c r="G187" s="533"/>
      <c r="H187" s="533"/>
      <c r="I187" s="533"/>
    </row>
    <row r="188" spans="2:9" ht="15.75" customHeight="1">
      <c r="B188" s="533"/>
      <c r="C188" s="533"/>
      <c r="D188" s="533"/>
      <c r="E188" s="533"/>
      <c r="F188" s="533"/>
      <c r="G188" s="533"/>
      <c r="H188" s="533"/>
      <c r="I188" s="533"/>
    </row>
    <row r="189" spans="2:9" ht="15.75" customHeight="1">
      <c r="B189" s="533"/>
      <c r="C189" s="533"/>
      <c r="D189" s="533"/>
      <c r="E189" s="533"/>
      <c r="F189" s="533"/>
      <c r="G189" s="533"/>
      <c r="H189" s="533"/>
      <c r="I189" s="533"/>
    </row>
    <row r="190" spans="2:9" ht="15.75" customHeight="1">
      <c r="B190" s="533"/>
      <c r="C190" s="533"/>
      <c r="D190" s="533"/>
      <c r="E190" s="533"/>
      <c r="F190" s="533"/>
      <c r="G190" s="533"/>
      <c r="H190" s="533"/>
      <c r="I190" s="533"/>
    </row>
    <row r="191" spans="2:9" ht="15.75" customHeight="1">
      <c r="B191" s="533"/>
      <c r="C191" s="533"/>
      <c r="D191" s="533"/>
      <c r="E191" s="533"/>
      <c r="F191" s="533"/>
      <c r="G191" s="533"/>
      <c r="H191" s="533"/>
      <c r="I191" s="533"/>
    </row>
    <row r="192" spans="2:9" ht="15.75" customHeight="1">
      <c r="B192" s="533"/>
      <c r="C192" s="533"/>
      <c r="D192" s="533"/>
      <c r="E192" s="533"/>
      <c r="F192" s="533"/>
      <c r="G192" s="533"/>
      <c r="H192" s="533"/>
      <c r="I192" s="533"/>
    </row>
    <row r="193" spans="2:9" ht="15.75" customHeight="1">
      <c r="B193" s="533"/>
      <c r="C193" s="533"/>
      <c r="D193" s="533"/>
      <c r="E193" s="533"/>
      <c r="F193" s="533"/>
      <c r="G193" s="533"/>
      <c r="H193" s="533"/>
      <c r="I193" s="533"/>
    </row>
    <row r="194" spans="2:9" ht="15.75" customHeight="1">
      <c r="B194" s="533"/>
      <c r="C194" s="533"/>
      <c r="D194" s="533"/>
      <c r="E194" s="533"/>
      <c r="F194" s="533"/>
      <c r="G194" s="533"/>
      <c r="H194" s="533"/>
      <c r="I194" s="533"/>
    </row>
    <row r="195" spans="2:9" ht="15.75" customHeight="1">
      <c r="B195" s="533"/>
      <c r="C195" s="533"/>
      <c r="D195" s="533"/>
      <c r="E195" s="533"/>
      <c r="F195" s="533"/>
      <c r="G195" s="533"/>
      <c r="H195" s="533"/>
      <c r="I195" s="533"/>
    </row>
    <row r="196" spans="2:9" ht="15.75" customHeight="1">
      <c r="B196" s="533"/>
      <c r="C196" s="533"/>
      <c r="D196" s="533"/>
      <c r="E196" s="533"/>
      <c r="F196" s="533"/>
      <c r="G196" s="533"/>
      <c r="H196" s="533"/>
      <c r="I196" s="533"/>
    </row>
    <row r="197" spans="2:9" ht="15.75" customHeight="1">
      <c r="B197" s="533"/>
      <c r="C197" s="533"/>
      <c r="D197" s="533"/>
      <c r="E197" s="533"/>
      <c r="F197" s="533"/>
      <c r="G197" s="533"/>
      <c r="H197" s="533"/>
      <c r="I197" s="533"/>
    </row>
    <row r="198" spans="2:9" ht="15.75" customHeight="1">
      <c r="B198" s="533"/>
      <c r="C198" s="533"/>
      <c r="D198" s="533"/>
      <c r="E198" s="533"/>
      <c r="F198" s="533"/>
      <c r="G198" s="533"/>
      <c r="H198" s="533"/>
      <c r="I198" s="533"/>
    </row>
    <row r="199" spans="2:9" ht="15.75" customHeight="1">
      <c r="B199" s="533"/>
      <c r="C199" s="533"/>
      <c r="D199" s="533"/>
      <c r="E199" s="533"/>
      <c r="F199" s="533"/>
      <c r="G199" s="533"/>
      <c r="H199" s="533"/>
      <c r="I199" s="533"/>
    </row>
    <row r="200" spans="2:9" ht="15.75" customHeight="1">
      <c r="B200" s="533"/>
      <c r="C200" s="533"/>
      <c r="D200" s="533"/>
      <c r="E200" s="533"/>
      <c r="F200" s="533"/>
      <c r="G200" s="533"/>
      <c r="H200" s="533"/>
      <c r="I200" s="533"/>
    </row>
    <row r="201" spans="2:9" ht="15.75" customHeight="1">
      <c r="B201" s="533"/>
      <c r="C201" s="533"/>
      <c r="D201" s="533"/>
      <c r="E201" s="533"/>
      <c r="F201" s="533"/>
      <c r="G201" s="533"/>
      <c r="H201" s="533"/>
      <c r="I201" s="533"/>
    </row>
    <row r="202" spans="2:9" ht="15.75" customHeight="1">
      <c r="B202" s="533"/>
      <c r="C202" s="533"/>
      <c r="D202" s="533"/>
      <c r="E202" s="533"/>
      <c r="F202" s="533"/>
      <c r="G202" s="533"/>
      <c r="H202" s="533"/>
      <c r="I202" s="533"/>
    </row>
    <row r="203" spans="2:9" ht="15.75" customHeight="1">
      <c r="B203" s="533"/>
      <c r="C203" s="533"/>
      <c r="D203" s="533"/>
      <c r="E203" s="533"/>
      <c r="F203" s="533"/>
      <c r="G203" s="533"/>
      <c r="H203" s="533"/>
      <c r="I203" s="533"/>
    </row>
    <row r="204" spans="2:9" ht="15.75" customHeight="1">
      <c r="B204" s="533"/>
      <c r="C204" s="533"/>
      <c r="D204" s="533"/>
      <c r="E204" s="533"/>
      <c r="F204" s="533"/>
      <c r="G204" s="533"/>
      <c r="H204" s="533"/>
      <c r="I204" s="533"/>
    </row>
    <row r="205" spans="2:9" ht="15.75" customHeight="1">
      <c r="B205" s="533"/>
      <c r="C205" s="533"/>
      <c r="D205" s="533"/>
      <c r="E205" s="533"/>
      <c r="F205" s="533"/>
      <c r="G205" s="533"/>
      <c r="H205" s="533"/>
      <c r="I205" s="533"/>
    </row>
    <row r="206" spans="2:9" ht="15.75" customHeight="1">
      <c r="B206" s="533"/>
      <c r="C206" s="533"/>
      <c r="D206" s="533"/>
      <c r="E206" s="533"/>
      <c r="F206" s="533"/>
      <c r="G206" s="533"/>
      <c r="H206" s="533"/>
      <c r="I206" s="533"/>
    </row>
    <row r="207" spans="2:9" ht="15.75" customHeight="1">
      <c r="B207" s="533"/>
      <c r="C207" s="533"/>
      <c r="D207" s="533"/>
      <c r="E207" s="533"/>
      <c r="F207" s="533"/>
      <c r="G207" s="533"/>
      <c r="H207" s="533"/>
      <c r="I207" s="533"/>
    </row>
    <row r="208" spans="2:9" ht="15.75" customHeight="1">
      <c r="B208" s="533"/>
      <c r="C208" s="533"/>
      <c r="D208" s="533"/>
      <c r="E208" s="533"/>
      <c r="F208" s="533"/>
      <c r="G208" s="533"/>
      <c r="H208" s="533"/>
      <c r="I208" s="533"/>
    </row>
    <row r="209" spans="2:9" ht="15.75" customHeight="1">
      <c r="B209" s="533"/>
      <c r="C209" s="533"/>
      <c r="D209" s="533"/>
      <c r="E209" s="533"/>
      <c r="F209" s="533"/>
      <c r="G209" s="533"/>
      <c r="H209" s="533"/>
      <c r="I209" s="533"/>
    </row>
    <row r="210" spans="2:9" ht="15.75" customHeight="1">
      <c r="B210" s="533"/>
      <c r="C210" s="533"/>
      <c r="D210" s="533"/>
      <c r="E210" s="533"/>
      <c r="F210" s="533"/>
      <c r="G210" s="533"/>
      <c r="H210" s="533"/>
      <c r="I210" s="533"/>
    </row>
    <row r="211" spans="2:9" ht="15.75" customHeight="1">
      <c r="B211" s="533"/>
      <c r="C211" s="533"/>
      <c r="D211" s="533"/>
      <c r="E211" s="533"/>
      <c r="F211" s="533"/>
      <c r="G211" s="533"/>
      <c r="H211" s="533"/>
      <c r="I211" s="533"/>
    </row>
    <row r="212" spans="2:9" ht="15.75" customHeight="1">
      <c r="B212" s="533"/>
      <c r="C212" s="533"/>
      <c r="D212" s="533"/>
      <c r="E212" s="533"/>
      <c r="F212" s="533"/>
      <c r="G212" s="533"/>
      <c r="H212" s="533"/>
      <c r="I212" s="533"/>
    </row>
    <row r="213" spans="2:9" ht="15.75" customHeight="1">
      <c r="B213" s="533"/>
      <c r="C213" s="533"/>
      <c r="D213" s="533"/>
      <c r="E213" s="533"/>
      <c r="F213" s="533"/>
      <c r="G213" s="533"/>
      <c r="H213" s="533"/>
      <c r="I213" s="533"/>
    </row>
    <row r="214" spans="2:9" ht="15.75" customHeight="1">
      <c r="B214" s="533"/>
      <c r="C214" s="533"/>
      <c r="D214" s="533"/>
      <c r="E214" s="533"/>
      <c r="F214" s="533"/>
      <c r="G214" s="533"/>
      <c r="H214" s="533"/>
      <c r="I214" s="533"/>
    </row>
    <row r="215" spans="2:9" ht="15.75" customHeight="1">
      <c r="B215" s="533"/>
      <c r="C215" s="533"/>
      <c r="D215" s="533"/>
      <c r="E215" s="533"/>
      <c r="F215" s="533"/>
      <c r="G215" s="533"/>
      <c r="H215" s="533"/>
      <c r="I215" s="533"/>
    </row>
    <row r="216" spans="2:9" ht="15.75" customHeight="1">
      <c r="B216" s="533"/>
      <c r="C216" s="533"/>
      <c r="D216" s="533"/>
      <c r="E216" s="533"/>
      <c r="F216" s="533"/>
      <c r="G216" s="533"/>
      <c r="H216" s="533"/>
      <c r="I216" s="533"/>
    </row>
    <row r="217" spans="2:9" ht="15.75" customHeight="1">
      <c r="B217" s="533"/>
      <c r="C217" s="533"/>
      <c r="D217" s="533"/>
      <c r="E217" s="533"/>
      <c r="F217" s="533"/>
      <c r="G217" s="533"/>
      <c r="H217" s="533"/>
      <c r="I217" s="533"/>
    </row>
    <row r="218" spans="2:9" ht="15.75" customHeight="1">
      <c r="B218" s="533"/>
      <c r="C218" s="533"/>
      <c r="D218" s="533"/>
      <c r="E218" s="533"/>
      <c r="F218" s="533"/>
      <c r="G218" s="533"/>
      <c r="H218" s="533"/>
      <c r="I218" s="533"/>
    </row>
    <row r="219" spans="2:9" ht="15.75" customHeight="1">
      <c r="B219" s="533"/>
      <c r="C219" s="533"/>
      <c r="D219" s="533"/>
      <c r="E219" s="533"/>
      <c r="F219" s="533"/>
      <c r="G219" s="533"/>
      <c r="H219" s="533"/>
      <c r="I219" s="533"/>
    </row>
    <row r="220" spans="2:9" ht="15.75" customHeight="1">
      <c r="B220" s="533"/>
      <c r="C220" s="533"/>
      <c r="D220" s="533"/>
      <c r="E220" s="533"/>
      <c r="F220" s="533"/>
      <c r="G220" s="533"/>
      <c r="H220" s="533"/>
      <c r="I220" s="533"/>
    </row>
    <row r="221" spans="2:9" ht="15.75" customHeight="1">
      <c r="B221" s="533"/>
      <c r="C221" s="533"/>
      <c r="D221" s="533"/>
      <c r="E221" s="533"/>
      <c r="F221" s="533"/>
      <c r="G221" s="533"/>
      <c r="H221" s="533"/>
      <c r="I221" s="533"/>
    </row>
    <row r="222" spans="2:9" ht="15.75" customHeight="1">
      <c r="B222" s="533"/>
      <c r="C222" s="533"/>
      <c r="D222" s="533"/>
      <c r="E222" s="533"/>
      <c r="F222" s="533"/>
      <c r="G222" s="533"/>
      <c r="H222" s="533"/>
      <c r="I222" s="533"/>
    </row>
    <row r="223" spans="2:9" ht="15.75" customHeight="1">
      <c r="B223" s="533"/>
      <c r="C223" s="533"/>
      <c r="D223" s="533"/>
      <c r="E223" s="533"/>
      <c r="F223" s="533"/>
      <c r="G223" s="533"/>
      <c r="H223" s="533"/>
      <c r="I223" s="533"/>
    </row>
    <row r="224" spans="2:9" ht="15.75" customHeight="1">
      <c r="B224" s="533"/>
      <c r="C224" s="533"/>
      <c r="D224" s="533"/>
      <c r="E224" s="533"/>
      <c r="F224" s="533"/>
      <c r="G224" s="533"/>
      <c r="H224" s="533"/>
      <c r="I224" s="533"/>
    </row>
    <row r="225" spans="2:9" ht="15.75" customHeight="1">
      <c r="B225" s="533"/>
      <c r="C225" s="533"/>
      <c r="D225" s="533"/>
      <c r="E225" s="533"/>
      <c r="F225" s="533"/>
      <c r="G225" s="533"/>
      <c r="H225" s="533"/>
      <c r="I225" s="533"/>
    </row>
    <row r="226" spans="2:9" ht="15.75" customHeight="1">
      <c r="B226" s="533"/>
      <c r="C226" s="533"/>
      <c r="D226" s="533"/>
      <c r="E226" s="533"/>
      <c r="F226" s="533"/>
      <c r="G226" s="533"/>
      <c r="H226" s="533"/>
      <c r="I226" s="533"/>
    </row>
    <row r="227" spans="2:9" ht="15.75" customHeight="1">
      <c r="B227" s="533"/>
      <c r="C227" s="533"/>
      <c r="D227" s="533"/>
      <c r="E227" s="533"/>
      <c r="F227" s="533"/>
      <c r="G227" s="533"/>
      <c r="H227" s="533"/>
      <c r="I227" s="533"/>
    </row>
    <row r="228" spans="2:9" ht="15.75" customHeight="1">
      <c r="B228" s="533"/>
      <c r="C228" s="533"/>
      <c r="D228" s="533"/>
      <c r="E228" s="533"/>
      <c r="F228" s="533"/>
      <c r="G228" s="533"/>
      <c r="H228" s="533"/>
      <c r="I228" s="533"/>
    </row>
    <row r="229" spans="2:9" ht="15.75" customHeight="1">
      <c r="B229" s="533"/>
      <c r="C229" s="533"/>
      <c r="D229" s="533"/>
      <c r="E229" s="533"/>
      <c r="F229" s="533"/>
      <c r="G229" s="533"/>
      <c r="H229" s="533"/>
      <c r="I229" s="533"/>
    </row>
    <row r="230" spans="2:9" ht="15.75" customHeight="1">
      <c r="B230" s="533"/>
      <c r="C230" s="533"/>
      <c r="D230" s="533"/>
      <c r="E230" s="533"/>
      <c r="F230" s="533"/>
      <c r="G230" s="533"/>
      <c r="H230" s="533"/>
      <c r="I230" s="533"/>
    </row>
    <row r="231" spans="2:9" ht="15.75" customHeight="1">
      <c r="B231" s="533"/>
      <c r="C231" s="533"/>
      <c r="D231" s="533"/>
      <c r="E231" s="533"/>
      <c r="F231" s="533"/>
      <c r="G231" s="533"/>
      <c r="H231" s="533"/>
      <c r="I231" s="533"/>
    </row>
    <row r="232" spans="2:9" ht="15.75" customHeight="1">
      <c r="B232" s="533"/>
      <c r="C232" s="533"/>
      <c r="D232" s="533"/>
      <c r="E232" s="533"/>
      <c r="F232" s="533"/>
      <c r="G232" s="533"/>
      <c r="H232" s="533"/>
      <c r="I232" s="533"/>
    </row>
    <row r="233" spans="2:9" ht="15.75" customHeight="1">
      <c r="B233" s="533"/>
      <c r="C233" s="533"/>
      <c r="D233" s="533"/>
      <c r="E233" s="533"/>
      <c r="F233" s="533"/>
      <c r="G233" s="533"/>
      <c r="H233" s="533"/>
      <c r="I233" s="533"/>
    </row>
    <row r="234" spans="2:9" ht="15.75" customHeight="1">
      <c r="B234" s="533"/>
      <c r="C234" s="533"/>
      <c r="D234" s="533"/>
      <c r="E234" s="533"/>
      <c r="F234" s="533"/>
      <c r="G234" s="533"/>
      <c r="H234" s="533"/>
      <c r="I234" s="533"/>
    </row>
    <row r="235" spans="2:9" ht="15.75" customHeight="1">
      <c r="B235" s="533"/>
      <c r="C235" s="533"/>
      <c r="D235" s="533"/>
      <c r="E235" s="533"/>
      <c r="F235" s="533"/>
      <c r="G235" s="533"/>
      <c r="H235" s="533"/>
      <c r="I235" s="533"/>
    </row>
    <row r="236" spans="2:9" ht="15.75" customHeight="1">
      <c r="B236" s="533"/>
      <c r="C236" s="533"/>
      <c r="D236" s="533"/>
      <c r="E236" s="533"/>
      <c r="F236" s="533"/>
      <c r="G236" s="533"/>
      <c r="H236" s="533"/>
      <c r="I236" s="533"/>
    </row>
    <row r="237" spans="2:9" ht="15.75" customHeight="1">
      <c r="B237" s="533"/>
      <c r="C237" s="533"/>
      <c r="D237" s="533"/>
      <c r="E237" s="533"/>
      <c r="F237" s="533"/>
      <c r="G237" s="533"/>
      <c r="H237" s="533"/>
      <c r="I237" s="533"/>
    </row>
    <row r="238" spans="2:9" ht="15.75" customHeight="1">
      <c r="B238" s="533"/>
      <c r="C238" s="533"/>
      <c r="D238" s="533"/>
      <c r="E238" s="533"/>
      <c r="F238" s="533"/>
      <c r="G238" s="533"/>
      <c r="H238" s="533"/>
      <c r="I238" s="533"/>
    </row>
    <row r="239" spans="2:9" ht="15.75" customHeight="1">
      <c r="B239" s="533"/>
      <c r="C239" s="533"/>
      <c r="D239" s="533"/>
      <c r="E239" s="533"/>
      <c r="F239" s="533"/>
      <c r="G239" s="533"/>
      <c r="H239" s="533"/>
      <c r="I239" s="533"/>
    </row>
    <row r="240" spans="2:9" ht="15.75" customHeight="1">
      <c r="B240" s="533"/>
      <c r="C240" s="533"/>
      <c r="D240" s="533"/>
      <c r="E240" s="533"/>
      <c r="F240" s="533"/>
      <c r="G240" s="533"/>
      <c r="H240" s="533"/>
      <c r="I240" s="533"/>
    </row>
    <row r="241" spans="2:9" ht="15.75" customHeight="1">
      <c r="B241" s="533"/>
      <c r="C241" s="533"/>
      <c r="D241" s="533"/>
      <c r="E241" s="533"/>
      <c r="F241" s="533"/>
      <c r="G241" s="533"/>
      <c r="H241" s="533"/>
      <c r="I241" s="533"/>
    </row>
    <row r="242" spans="2:9" ht="15.75" customHeight="1">
      <c r="B242" s="533"/>
      <c r="C242" s="533"/>
      <c r="D242" s="533"/>
      <c r="E242" s="533"/>
      <c r="F242" s="533"/>
      <c r="G242" s="533"/>
      <c r="H242" s="533"/>
      <c r="I242" s="533"/>
    </row>
    <row r="243" spans="2:9" ht="15.75" customHeight="1">
      <c r="B243" s="533"/>
      <c r="C243" s="533"/>
      <c r="D243" s="533"/>
      <c r="E243" s="533"/>
      <c r="F243" s="533"/>
      <c r="G243" s="533"/>
      <c r="H243" s="533"/>
      <c r="I243" s="533"/>
    </row>
    <row r="244" spans="2:9" ht="15.75" customHeight="1">
      <c r="B244" s="533"/>
      <c r="C244" s="533"/>
      <c r="D244" s="533"/>
      <c r="E244" s="533"/>
      <c r="F244" s="533"/>
      <c r="G244" s="533"/>
      <c r="H244" s="533"/>
      <c r="I244" s="533"/>
    </row>
    <row r="245" spans="2:9" ht="15.75" customHeight="1">
      <c r="B245" s="533"/>
      <c r="C245" s="533"/>
      <c r="D245" s="533"/>
      <c r="E245" s="533"/>
      <c r="F245" s="533"/>
      <c r="G245" s="533"/>
      <c r="H245" s="533"/>
      <c r="I245" s="533"/>
    </row>
    <row r="246" spans="2:9" ht="15.75" customHeight="1">
      <c r="B246" s="533"/>
      <c r="C246" s="533"/>
      <c r="D246" s="533"/>
      <c r="E246" s="533"/>
      <c r="F246" s="533"/>
      <c r="G246" s="533"/>
      <c r="H246" s="533"/>
      <c r="I246" s="533"/>
    </row>
    <row r="247" spans="2:9" ht="15.75" customHeight="1">
      <c r="B247" s="533"/>
      <c r="C247" s="533"/>
      <c r="D247" s="533"/>
      <c r="E247" s="533"/>
      <c r="F247" s="533"/>
      <c r="G247" s="533"/>
      <c r="H247" s="533"/>
      <c r="I247" s="533"/>
    </row>
    <row r="248" spans="2:9" ht="15.75" customHeight="1">
      <c r="B248" s="533"/>
      <c r="C248" s="533"/>
      <c r="D248" s="533"/>
      <c r="E248" s="533"/>
      <c r="F248" s="533"/>
      <c r="G248" s="533"/>
      <c r="H248" s="533"/>
      <c r="I248" s="533"/>
    </row>
    <row r="249" spans="2:9" ht="15.75" customHeight="1">
      <c r="B249" s="533"/>
      <c r="C249" s="533"/>
      <c r="D249" s="533"/>
      <c r="E249" s="533"/>
      <c r="F249" s="533"/>
      <c r="G249" s="533"/>
      <c r="H249" s="533"/>
      <c r="I249" s="533"/>
    </row>
    <row r="250" spans="2:9" ht="15.75" customHeight="1">
      <c r="B250" s="533"/>
      <c r="C250" s="533"/>
      <c r="D250" s="533"/>
      <c r="E250" s="533"/>
      <c r="F250" s="533"/>
      <c r="G250" s="533"/>
      <c r="H250" s="533"/>
      <c r="I250" s="533"/>
    </row>
    <row r="251" spans="2:9" ht="15.75" customHeight="1">
      <c r="B251" s="533"/>
      <c r="C251" s="533"/>
      <c r="D251" s="533"/>
      <c r="E251" s="533"/>
      <c r="F251" s="533"/>
      <c r="G251" s="533"/>
      <c r="H251" s="533"/>
      <c r="I251" s="533"/>
    </row>
    <row r="252" spans="2:9" ht="15.75" customHeight="1">
      <c r="B252" s="533"/>
      <c r="C252" s="533"/>
      <c r="D252" s="533"/>
      <c r="E252" s="533"/>
      <c r="F252" s="533"/>
      <c r="G252" s="533"/>
      <c r="H252" s="533"/>
      <c r="I252" s="533"/>
    </row>
    <row r="253" spans="2:9" ht="15.75" customHeight="1">
      <c r="B253" s="533"/>
      <c r="C253" s="533"/>
      <c r="D253" s="533"/>
      <c r="E253" s="533"/>
      <c r="F253" s="533"/>
      <c r="G253" s="533"/>
      <c r="H253" s="533"/>
      <c r="I253" s="533"/>
    </row>
    <row r="254" spans="2:9" ht="15.75" customHeight="1">
      <c r="B254" s="533"/>
      <c r="C254" s="533"/>
      <c r="D254" s="533"/>
      <c r="E254" s="533"/>
      <c r="F254" s="533"/>
      <c r="G254" s="533"/>
      <c r="H254" s="533"/>
      <c r="I254" s="533"/>
    </row>
    <row r="255" spans="2:9" ht="15.75" customHeight="1">
      <c r="B255" s="533"/>
      <c r="C255" s="533"/>
      <c r="D255" s="533"/>
      <c r="E255" s="533"/>
      <c r="F255" s="533"/>
      <c r="G255" s="533"/>
      <c r="H255" s="533"/>
      <c r="I255" s="533"/>
    </row>
    <row r="256" spans="2:9" ht="15.75" customHeight="1">
      <c r="B256" s="533"/>
      <c r="C256" s="533"/>
      <c r="D256" s="533"/>
      <c r="E256" s="533"/>
      <c r="F256" s="533"/>
      <c r="G256" s="533"/>
      <c r="H256" s="533"/>
      <c r="I256" s="533"/>
    </row>
    <row r="257" spans="2:9" ht="15.75" customHeight="1">
      <c r="B257" s="533"/>
      <c r="C257" s="533"/>
      <c r="D257" s="533"/>
      <c r="E257" s="533"/>
      <c r="F257" s="533"/>
      <c r="G257" s="533"/>
      <c r="H257" s="533"/>
      <c r="I257" s="533"/>
    </row>
    <row r="258" spans="2:9" ht="15.75" customHeight="1">
      <c r="B258" s="533"/>
      <c r="C258" s="533"/>
      <c r="D258" s="533"/>
      <c r="E258" s="533"/>
      <c r="F258" s="533"/>
      <c r="G258" s="533"/>
      <c r="H258" s="533"/>
      <c r="I258" s="533"/>
    </row>
    <row r="259" spans="2:9" ht="15.75" customHeight="1">
      <c r="B259" s="533"/>
      <c r="C259" s="533"/>
      <c r="D259" s="533"/>
      <c r="E259" s="533"/>
      <c r="F259" s="533"/>
      <c r="G259" s="533"/>
      <c r="H259" s="533"/>
      <c r="I259" s="533"/>
    </row>
    <row r="260" spans="2:9" ht="15.75" customHeight="1">
      <c r="B260" s="533"/>
      <c r="C260" s="533"/>
      <c r="D260" s="533"/>
      <c r="E260" s="533"/>
      <c r="F260" s="533"/>
      <c r="G260" s="533"/>
      <c r="H260" s="533"/>
      <c r="I260" s="533"/>
    </row>
    <row r="261" spans="2:9" ht="15.75" customHeight="1">
      <c r="B261" s="533"/>
      <c r="C261" s="533"/>
      <c r="D261" s="533"/>
      <c r="E261" s="533"/>
      <c r="F261" s="533"/>
      <c r="G261" s="533"/>
      <c r="H261" s="533"/>
      <c r="I261" s="533"/>
    </row>
    <row r="262" spans="2:9" ht="15.75" customHeight="1">
      <c r="B262" s="533"/>
      <c r="C262" s="533"/>
      <c r="D262" s="533"/>
      <c r="E262" s="533"/>
      <c r="F262" s="533"/>
      <c r="G262" s="533"/>
      <c r="H262" s="533"/>
      <c r="I262" s="533"/>
    </row>
    <row r="263" spans="2:9" ht="15.75" customHeight="1">
      <c r="B263" s="533"/>
      <c r="C263" s="533"/>
      <c r="D263" s="533"/>
      <c r="E263" s="533"/>
      <c r="F263" s="533"/>
      <c r="G263" s="533"/>
      <c r="H263" s="533"/>
      <c r="I263" s="533"/>
    </row>
    <row r="264" spans="2:9" ht="15.75" customHeight="1">
      <c r="B264" s="533"/>
      <c r="C264" s="533"/>
      <c r="D264" s="533"/>
      <c r="E264" s="533"/>
      <c r="F264" s="533"/>
      <c r="G264" s="533"/>
      <c r="H264" s="533"/>
      <c r="I264" s="533"/>
    </row>
    <row r="265" spans="2:9" ht="15.75" customHeight="1">
      <c r="B265" s="533"/>
      <c r="C265" s="533"/>
      <c r="D265" s="533"/>
      <c r="E265" s="533"/>
      <c r="F265" s="533"/>
      <c r="G265" s="533"/>
      <c r="H265" s="533"/>
      <c r="I265" s="533"/>
    </row>
    <row r="266" spans="2:9" ht="15.75" customHeight="1">
      <c r="B266" s="533"/>
      <c r="C266" s="533"/>
      <c r="D266" s="533"/>
      <c r="E266" s="533"/>
      <c r="F266" s="533"/>
      <c r="G266" s="533"/>
      <c r="H266" s="533"/>
      <c r="I266" s="533"/>
    </row>
    <row r="267" spans="2:9" ht="15.75" customHeight="1">
      <c r="B267" s="533"/>
      <c r="C267" s="533"/>
      <c r="D267" s="533"/>
      <c r="E267" s="533"/>
      <c r="F267" s="533"/>
      <c r="G267" s="533"/>
      <c r="H267" s="533"/>
      <c r="I267" s="533"/>
    </row>
  </sheetData>
  <mergeCells count="11">
    <mergeCell ref="I4:I6"/>
    <mergeCell ref="I26:I28"/>
    <mergeCell ref="G4:G6"/>
    <mergeCell ref="H4:H6"/>
    <mergeCell ref="F4:F6"/>
    <mergeCell ref="B11:E11"/>
    <mergeCell ref="H26:H28"/>
    <mergeCell ref="B14:E14"/>
    <mergeCell ref="B18:E18"/>
    <mergeCell ref="G26:G28"/>
    <mergeCell ref="F26:F28"/>
  </mergeCells>
  <printOptions horizontalCentered="1"/>
  <pageMargins left="0.78740157480314965" right="0.78740157480314965" top="0.78740157480314965" bottom="0.78740157480314965" header="0.39370078740157483" footer="0.39370078740157483"/>
  <pageSetup paperSize="9" scale="91" firstPageNumber="73" orientation="portrait" useFirstPageNumber="1" r:id="rId1"/>
  <headerFooter>
    <oddHeader>&amp;C&amp;"+,Tučné"II. Rozpis rozpočtu</oddHeader>
    <oddFooter>&amp;C&amp;"-,Obyčejné" &amp;P</oddFooter>
  </headerFooter>
  <ignoredErrors>
    <ignoredError sqref="B29:D29 B30:D30" numberStoredAsText="1"/>
  </ignoredError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7030A0"/>
  </sheetPr>
  <dimension ref="A1:L437"/>
  <sheetViews>
    <sheetView zoomScaleNormal="100" workbookViewId="0">
      <selection activeCell="K35" sqref="K35"/>
    </sheetView>
  </sheetViews>
  <sheetFormatPr defaultRowHeight="15.75" customHeight="1"/>
  <cols>
    <col min="1" max="1" width="4.7109375" style="203" customWidth="1"/>
    <col min="2" max="4" width="5.7109375" style="300" customWidth="1"/>
    <col min="5" max="5" width="36.7109375" style="12" customWidth="1"/>
    <col min="6" max="6" width="9.85546875" style="122" customWidth="1"/>
    <col min="7" max="7" width="9.85546875" style="122" hidden="1" customWidth="1"/>
    <col min="8" max="8" width="9.85546875" style="122" customWidth="1"/>
    <col min="9" max="9" width="10.5703125" style="122" customWidth="1"/>
    <col min="10" max="10" width="12.85546875" style="12" customWidth="1"/>
    <col min="11" max="16384" width="9.140625" style="12"/>
  </cols>
  <sheetData>
    <row r="1" spans="1:9" ht="15.75" customHeight="1">
      <c r="B1" s="273"/>
      <c r="C1" s="273"/>
      <c r="D1" s="273"/>
      <c r="E1" s="3"/>
    </row>
    <row r="2" spans="1:9" ht="15.75" customHeight="1">
      <c r="B2" s="273"/>
      <c r="C2" s="273"/>
      <c r="D2" s="273"/>
      <c r="E2" s="3"/>
    </row>
    <row r="3" spans="1:9" ht="15.75" customHeight="1" thickBot="1">
      <c r="B3" s="273"/>
      <c r="C3" s="273"/>
      <c r="D3" s="273"/>
      <c r="E3" s="3"/>
    </row>
    <row r="4" spans="1:9" ht="15.75" customHeight="1" thickTop="1">
      <c r="B4" s="41"/>
      <c r="C4" s="163"/>
      <c r="D4" s="164"/>
      <c r="E4" s="38"/>
      <c r="F4" s="1962" t="s">
        <v>44</v>
      </c>
      <c r="G4" s="1962" t="s">
        <v>43</v>
      </c>
      <c r="H4" s="1962" t="s">
        <v>1487</v>
      </c>
      <c r="I4" s="1971" t="s">
        <v>1488</v>
      </c>
    </row>
    <row r="5" spans="1:9" ht="15.75" customHeight="1">
      <c r="B5" s="36" t="s">
        <v>42</v>
      </c>
      <c r="C5" s="35" t="s">
        <v>41</v>
      </c>
      <c r="D5" s="34" t="s">
        <v>40</v>
      </c>
      <c r="E5" s="33"/>
      <c r="F5" s="1963"/>
      <c r="G5" s="1963"/>
      <c r="H5" s="1963"/>
      <c r="I5" s="1972"/>
    </row>
    <row r="6" spans="1:9" ht="15.75" customHeight="1" thickBot="1">
      <c r="A6" s="203" t="s">
        <v>120</v>
      </c>
      <c r="B6" s="31"/>
      <c r="C6" s="30"/>
      <c r="D6" s="29"/>
      <c r="E6" s="28" t="s">
        <v>38</v>
      </c>
      <c r="F6" s="1964"/>
      <c r="G6" s="1964"/>
      <c r="H6" s="1964"/>
      <c r="I6" s="1973"/>
    </row>
    <row r="7" spans="1:9" ht="15.75" customHeight="1" thickTop="1" thickBot="1">
      <c r="B7" s="102" t="s">
        <v>278</v>
      </c>
      <c r="C7" s="85" t="s">
        <v>56</v>
      </c>
      <c r="D7" s="85" t="s">
        <v>345</v>
      </c>
      <c r="E7" s="440" t="s">
        <v>543</v>
      </c>
      <c r="F7" s="441">
        <v>50</v>
      </c>
      <c r="G7" s="441">
        <f>F7</f>
        <v>50</v>
      </c>
      <c r="H7" s="441">
        <v>40</v>
      </c>
      <c r="I7" s="1336">
        <v>40</v>
      </c>
    </row>
    <row r="8" spans="1:9" ht="15.75" customHeight="1" thickBot="1">
      <c r="B8" s="62" t="s">
        <v>278</v>
      </c>
      <c r="C8" s="61" t="s">
        <v>544</v>
      </c>
      <c r="D8" s="61" t="s">
        <v>345</v>
      </c>
      <c r="E8" s="442" t="s">
        <v>545</v>
      </c>
      <c r="F8" s="443">
        <v>20</v>
      </c>
      <c r="G8" s="443">
        <f>F8</f>
        <v>20</v>
      </c>
      <c r="H8" s="443">
        <v>15</v>
      </c>
      <c r="I8" s="1337">
        <v>15</v>
      </c>
    </row>
    <row r="9" spans="1:9" ht="15.75" customHeight="1" thickBot="1">
      <c r="B9" s="62" t="s">
        <v>278</v>
      </c>
      <c r="C9" s="61" t="s">
        <v>56</v>
      </c>
      <c r="D9" s="61" t="s">
        <v>546</v>
      </c>
      <c r="E9" s="442" t="s">
        <v>547</v>
      </c>
      <c r="F9" s="443">
        <v>25</v>
      </c>
      <c r="G9" s="443">
        <f>F9</f>
        <v>25</v>
      </c>
      <c r="H9" s="443">
        <v>40</v>
      </c>
      <c r="I9" s="1337">
        <v>40</v>
      </c>
    </row>
    <row r="10" spans="1:9" ht="15.75" customHeight="1" thickBot="1">
      <c r="B10" s="62" t="s">
        <v>278</v>
      </c>
      <c r="C10" s="61" t="s">
        <v>544</v>
      </c>
      <c r="D10" s="61" t="s">
        <v>546</v>
      </c>
      <c r="E10" s="442" t="s">
        <v>548</v>
      </c>
      <c r="F10" s="443">
        <v>15</v>
      </c>
      <c r="G10" s="443">
        <f>F10</f>
        <v>15</v>
      </c>
      <c r="H10" s="443">
        <v>15</v>
      </c>
      <c r="I10" s="1337">
        <v>15</v>
      </c>
    </row>
    <row r="11" spans="1:9" ht="15.75" customHeight="1" thickBot="1">
      <c r="A11" s="203">
        <v>501</v>
      </c>
      <c r="B11" s="2037" t="s">
        <v>549</v>
      </c>
      <c r="C11" s="2038"/>
      <c r="D11" s="2038"/>
      <c r="E11" s="2038"/>
      <c r="F11" s="444">
        <f>SUM(F7:F10)</f>
        <v>110</v>
      </c>
      <c r="G11" s="444">
        <f>SUM(G7:G10)</f>
        <v>110</v>
      </c>
      <c r="H11" s="444">
        <f>SUM(H7:H10)</f>
        <v>110</v>
      </c>
      <c r="I11" s="1338">
        <f>SUM(I7:I10)</f>
        <v>110</v>
      </c>
    </row>
    <row r="12" spans="1:9" ht="15.75" customHeight="1" thickTop="1" thickBot="1">
      <c r="B12" s="62" t="s">
        <v>238</v>
      </c>
      <c r="C12" s="61" t="s">
        <v>65</v>
      </c>
      <c r="D12" s="61" t="s">
        <v>550</v>
      </c>
      <c r="E12" s="442" t="s">
        <v>551</v>
      </c>
      <c r="F12" s="445">
        <v>0</v>
      </c>
      <c r="G12" s="445">
        <v>47</v>
      </c>
      <c r="H12" s="445">
        <v>0</v>
      </c>
      <c r="I12" s="1339">
        <v>0</v>
      </c>
    </row>
    <row r="13" spans="1:9" ht="15.75" customHeight="1" thickBot="1">
      <c r="B13" s="62">
        <v>3699</v>
      </c>
      <c r="C13" s="61">
        <v>5169</v>
      </c>
      <c r="D13" s="61" t="s">
        <v>550</v>
      </c>
      <c r="E13" s="442" t="s">
        <v>211</v>
      </c>
      <c r="F13" s="445">
        <v>2500</v>
      </c>
      <c r="G13" s="445">
        <f>2500-0.42-47</f>
        <v>2452.58</v>
      </c>
      <c r="H13" s="445">
        <v>1500</v>
      </c>
      <c r="I13" s="1339">
        <v>1500</v>
      </c>
    </row>
    <row r="14" spans="1:9" ht="15.75" customHeight="1" thickBot="1">
      <c r="B14" s="62">
        <v>3699</v>
      </c>
      <c r="C14" s="61">
        <v>5169</v>
      </c>
      <c r="D14" s="61" t="s">
        <v>550</v>
      </c>
      <c r="E14" s="442" t="s">
        <v>552</v>
      </c>
      <c r="F14" s="445">
        <v>0</v>
      </c>
      <c r="G14" s="445">
        <v>600</v>
      </c>
      <c r="H14" s="445">
        <v>0</v>
      </c>
      <c r="I14" s="1339">
        <v>0</v>
      </c>
    </row>
    <row r="15" spans="1:9" ht="15.75" customHeight="1" thickBot="1">
      <c r="B15" s="62" t="s">
        <v>276</v>
      </c>
      <c r="C15" s="61" t="s">
        <v>56</v>
      </c>
      <c r="D15" s="61" t="s">
        <v>550</v>
      </c>
      <c r="E15" s="442" t="s">
        <v>553</v>
      </c>
      <c r="F15" s="445">
        <v>1122</v>
      </c>
      <c r="G15" s="445">
        <v>1122</v>
      </c>
      <c r="H15" s="445">
        <v>1160</v>
      </c>
      <c r="I15" s="1339">
        <v>1160</v>
      </c>
    </row>
    <row r="16" spans="1:9" ht="15.75" customHeight="1" thickBot="1">
      <c r="B16" s="62">
        <v>3699</v>
      </c>
      <c r="C16" s="61">
        <v>5171</v>
      </c>
      <c r="D16" s="61" t="s">
        <v>550</v>
      </c>
      <c r="E16" s="442" t="s">
        <v>53</v>
      </c>
      <c r="F16" s="443">
        <v>1000</v>
      </c>
      <c r="G16" s="443">
        <f>1000-20</f>
        <v>980</v>
      </c>
      <c r="H16" s="443">
        <v>600</v>
      </c>
      <c r="I16" s="1340">
        <v>600</v>
      </c>
    </row>
    <row r="17" spans="1:10" ht="15.75" customHeight="1" thickBot="1">
      <c r="B17" s="62">
        <v>3699</v>
      </c>
      <c r="C17" s="61">
        <v>5171</v>
      </c>
      <c r="D17" s="61" t="s">
        <v>550</v>
      </c>
      <c r="E17" s="442" t="s">
        <v>1527</v>
      </c>
      <c r="F17" s="443">
        <v>0</v>
      </c>
      <c r="G17" s="443">
        <v>62</v>
      </c>
      <c r="H17" s="443">
        <v>0</v>
      </c>
      <c r="I17" s="1340">
        <v>450</v>
      </c>
    </row>
    <row r="18" spans="1:10" ht="15.75" customHeight="1" thickBot="1">
      <c r="B18" s="62" t="s">
        <v>238</v>
      </c>
      <c r="C18" s="61" t="s">
        <v>554</v>
      </c>
      <c r="D18" s="61" t="s">
        <v>550</v>
      </c>
      <c r="E18" s="442" t="s">
        <v>555</v>
      </c>
      <c r="F18" s="443">
        <v>0</v>
      </c>
      <c r="G18" s="443">
        <v>20</v>
      </c>
      <c r="H18" s="443">
        <v>100</v>
      </c>
      <c r="I18" s="1340">
        <v>100</v>
      </c>
    </row>
    <row r="19" spans="1:10" ht="15.75" customHeight="1" thickBot="1">
      <c r="A19" s="203">
        <v>511</v>
      </c>
      <c r="B19" s="2037" t="s">
        <v>556</v>
      </c>
      <c r="C19" s="2038"/>
      <c r="D19" s="2038"/>
      <c r="E19" s="2038"/>
      <c r="F19" s="444">
        <f>SUM(F12:F18)</f>
        <v>4622</v>
      </c>
      <c r="G19" s="444">
        <f>SUM(G12:G18)</f>
        <v>5283.58</v>
      </c>
      <c r="H19" s="444">
        <f>SUM(H12:H18)</f>
        <v>3360</v>
      </c>
      <c r="I19" s="1338">
        <f>SUM(I12:I18)</f>
        <v>3810</v>
      </c>
    </row>
    <row r="20" spans="1:10" ht="15.75" customHeight="1" thickTop="1" thickBot="1">
      <c r="B20" s="102" t="s">
        <v>277</v>
      </c>
      <c r="C20" s="85" t="s">
        <v>557</v>
      </c>
      <c r="D20" s="85" t="s">
        <v>558</v>
      </c>
      <c r="E20" s="440" t="s">
        <v>559</v>
      </c>
      <c r="F20" s="446">
        <v>20</v>
      </c>
      <c r="G20" s="446">
        <v>20</v>
      </c>
      <c r="H20" s="446">
        <v>20</v>
      </c>
      <c r="I20" s="1341">
        <v>20</v>
      </c>
    </row>
    <row r="21" spans="1:10" ht="15.75" customHeight="1" thickBot="1">
      <c r="B21" s="447" t="s">
        <v>277</v>
      </c>
      <c r="C21" s="448" t="s">
        <v>65</v>
      </c>
      <c r="D21" s="448" t="s">
        <v>558</v>
      </c>
      <c r="E21" s="449" t="s">
        <v>560</v>
      </c>
      <c r="F21" s="450">
        <v>100</v>
      </c>
      <c r="G21" s="450">
        <v>100</v>
      </c>
      <c r="H21" s="450">
        <v>100</v>
      </c>
      <c r="I21" s="1342">
        <v>100</v>
      </c>
    </row>
    <row r="22" spans="1:10" s="16" customFormat="1" ht="15.75" customHeight="1" thickBot="1">
      <c r="A22" s="451"/>
      <c r="B22" s="229" t="s">
        <v>277</v>
      </c>
      <c r="C22" s="230" t="s">
        <v>51</v>
      </c>
      <c r="D22" s="230" t="s">
        <v>558</v>
      </c>
      <c r="E22" s="452" t="s">
        <v>50</v>
      </c>
      <c r="F22" s="443">
        <v>100</v>
      </c>
      <c r="G22" s="443">
        <v>100</v>
      </c>
      <c r="H22" s="443">
        <v>80</v>
      </c>
      <c r="I22" s="1340">
        <v>80</v>
      </c>
    </row>
    <row r="23" spans="1:10" ht="15.75" customHeight="1" thickBot="1">
      <c r="B23" s="229" t="s">
        <v>277</v>
      </c>
      <c r="C23" s="230">
        <v>5151</v>
      </c>
      <c r="D23" s="230" t="s">
        <v>558</v>
      </c>
      <c r="E23" s="452" t="s">
        <v>89</v>
      </c>
      <c r="F23" s="443">
        <v>140</v>
      </c>
      <c r="G23" s="443">
        <v>140</v>
      </c>
      <c r="H23" s="443">
        <v>220</v>
      </c>
      <c r="I23" s="1340">
        <v>220</v>
      </c>
    </row>
    <row r="24" spans="1:10" ht="15.75" customHeight="1" thickBot="1">
      <c r="B24" s="62" t="s">
        <v>277</v>
      </c>
      <c r="C24" s="61">
        <v>5152</v>
      </c>
      <c r="D24" s="61" t="s">
        <v>558</v>
      </c>
      <c r="E24" s="442" t="s">
        <v>561</v>
      </c>
      <c r="F24" s="443">
        <v>100</v>
      </c>
      <c r="G24" s="443">
        <v>100</v>
      </c>
      <c r="H24" s="443">
        <v>450</v>
      </c>
      <c r="I24" s="1340">
        <v>450</v>
      </c>
    </row>
    <row r="25" spans="1:10" ht="15.75" customHeight="1" thickBot="1">
      <c r="B25" s="62" t="s">
        <v>277</v>
      </c>
      <c r="C25" s="61">
        <v>5154</v>
      </c>
      <c r="D25" s="61" t="s">
        <v>558</v>
      </c>
      <c r="E25" s="442" t="s">
        <v>87</v>
      </c>
      <c r="F25" s="443">
        <v>250</v>
      </c>
      <c r="G25" s="443">
        <v>250</v>
      </c>
      <c r="H25" s="443">
        <v>330</v>
      </c>
      <c r="I25" s="1340">
        <v>330</v>
      </c>
    </row>
    <row r="26" spans="1:10" ht="15.75" customHeight="1" thickBot="1">
      <c r="B26" s="62" t="s">
        <v>277</v>
      </c>
      <c r="C26" s="61" t="s">
        <v>526</v>
      </c>
      <c r="D26" s="61" t="s">
        <v>558</v>
      </c>
      <c r="E26" s="442" t="s">
        <v>527</v>
      </c>
      <c r="F26" s="443">
        <v>0</v>
      </c>
      <c r="G26" s="443">
        <v>5</v>
      </c>
      <c r="H26" s="443">
        <v>5</v>
      </c>
      <c r="I26" s="1340">
        <v>5</v>
      </c>
    </row>
    <row r="27" spans="1:10" ht="15.75" customHeight="1" thickBot="1">
      <c r="B27" s="62" t="s">
        <v>277</v>
      </c>
      <c r="C27" s="61" t="s">
        <v>85</v>
      </c>
      <c r="D27" s="61" t="s">
        <v>558</v>
      </c>
      <c r="E27" s="442" t="s">
        <v>562</v>
      </c>
      <c r="F27" s="443">
        <v>4000</v>
      </c>
      <c r="G27" s="443">
        <v>4000</v>
      </c>
      <c r="H27" s="443">
        <v>4100</v>
      </c>
      <c r="I27" s="1340">
        <v>4100</v>
      </c>
    </row>
    <row r="28" spans="1:10" ht="15.75" customHeight="1" thickBot="1">
      <c r="B28" s="62" t="s">
        <v>277</v>
      </c>
      <c r="C28" s="61">
        <v>5169</v>
      </c>
      <c r="D28" s="61" t="s">
        <v>558</v>
      </c>
      <c r="E28" s="442" t="s">
        <v>211</v>
      </c>
      <c r="F28" s="443">
        <v>300</v>
      </c>
      <c r="G28" s="443">
        <f>300+50+173+300</f>
        <v>823</v>
      </c>
      <c r="H28" s="443">
        <v>2700</v>
      </c>
      <c r="I28" s="1340">
        <f>2700+15+262+7400</f>
        <v>10377</v>
      </c>
      <c r="J28" s="971"/>
    </row>
    <row r="29" spans="1:10" ht="15.75" customHeight="1" thickBot="1">
      <c r="B29" s="62" t="s">
        <v>277</v>
      </c>
      <c r="C29" s="61">
        <v>5171</v>
      </c>
      <c r="D29" s="61" t="s">
        <v>558</v>
      </c>
      <c r="E29" s="442" t="s">
        <v>563</v>
      </c>
      <c r="F29" s="445">
        <v>1600</v>
      </c>
      <c r="G29" s="445">
        <f>1600-100-4.59795-300</f>
        <v>1195.4020499999999</v>
      </c>
      <c r="H29" s="445">
        <v>4300</v>
      </c>
      <c r="I29" s="1339">
        <f>4300+3+121</f>
        <v>4424</v>
      </c>
      <c r="J29" s="971"/>
    </row>
    <row r="30" spans="1:10" ht="15.75" customHeight="1" thickBot="1">
      <c r="B30" s="62" t="s">
        <v>277</v>
      </c>
      <c r="C30" s="61" t="s">
        <v>502</v>
      </c>
      <c r="D30" s="61" t="s">
        <v>558</v>
      </c>
      <c r="E30" s="442" t="s">
        <v>564</v>
      </c>
      <c r="F30" s="445">
        <v>10</v>
      </c>
      <c r="G30" s="445">
        <f>10+50</f>
        <v>60</v>
      </c>
      <c r="H30" s="445">
        <v>90</v>
      </c>
      <c r="I30" s="1339">
        <v>90</v>
      </c>
    </row>
    <row r="31" spans="1:10" ht="15.75" customHeight="1" thickBot="1">
      <c r="B31" s="62" t="s">
        <v>277</v>
      </c>
      <c r="C31" s="61" t="s">
        <v>565</v>
      </c>
      <c r="D31" s="61" t="s">
        <v>558</v>
      </c>
      <c r="E31" s="442" t="s">
        <v>566</v>
      </c>
      <c r="F31" s="443">
        <v>260</v>
      </c>
      <c r="G31" s="443">
        <f>260-50</f>
        <v>210</v>
      </c>
      <c r="H31" s="443">
        <v>180</v>
      </c>
      <c r="I31" s="1340">
        <v>180</v>
      </c>
    </row>
    <row r="32" spans="1:10" ht="15.75" customHeight="1" thickBot="1">
      <c r="B32" s="62" t="s">
        <v>277</v>
      </c>
      <c r="C32" s="61">
        <v>5901</v>
      </c>
      <c r="D32" s="61" t="s">
        <v>558</v>
      </c>
      <c r="E32" s="442" t="s">
        <v>567</v>
      </c>
      <c r="F32" s="443">
        <v>300</v>
      </c>
      <c r="G32" s="443">
        <f>300-50-72-5-173</f>
        <v>0</v>
      </c>
      <c r="H32" s="443">
        <v>300</v>
      </c>
      <c r="I32" s="1340">
        <v>300</v>
      </c>
    </row>
    <row r="33" spans="1:12" ht="15.75" customHeight="1" thickBot="1">
      <c r="A33" s="203">
        <v>512</v>
      </c>
      <c r="B33" s="2037" t="s">
        <v>568</v>
      </c>
      <c r="C33" s="2038"/>
      <c r="D33" s="2038"/>
      <c r="E33" s="2038"/>
      <c r="F33" s="444">
        <f>SUM(F20:F32)</f>
        <v>7180</v>
      </c>
      <c r="G33" s="444">
        <f>SUM(G20:G32)</f>
        <v>7003.4020499999997</v>
      </c>
      <c r="H33" s="444">
        <f>SUM(H20:H32)</f>
        <v>12875</v>
      </c>
      <c r="I33" s="1338">
        <f>SUM(I20:I32)</f>
        <v>20676</v>
      </c>
      <c r="J33" s="16"/>
      <c r="K33" s="16"/>
      <c r="L33" s="16"/>
    </row>
    <row r="34" spans="1:12" ht="15.75" customHeight="1" thickTop="1" thickBot="1">
      <c r="B34" s="229" t="s">
        <v>176</v>
      </c>
      <c r="C34" s="230" t="s">
        <v>193</v>
      </c>
      <c r="D34" s="230" t="s">
        <v>569</v>
      </c>
      <c r="E34" s="453" t="s">
        <v>570</v>
      </c>
      <c r="F34" s="454">
        <v>0</v>
      </c>
      <c r="G34" s="443">
        <v>8</v>
      </c>
      <c r="H34" s="443">
        <v>0</v>
      </c>
      <c r="I34" s="1340">
        <v>0</v>
      </c>
      <c r="J34" s="16"/>
      <c r="K34" s="16"/>
      <c r="L34" s="16"/>
    </row>
    <row r="35" spans="1:12" ht="15.75" customHeight="1" thickBot="1">
      <c r="B35" s="229" t="s">
        <v>180</v>
      </c>
      <c r="C35" s="230" t="s">
        <v>56</v>
      </c>
      <c r="D35" s="230" t="s">
        <v>569</v>
      </c>
      <c r="E35" s="453" t="s">
        <v>571</v>
      </c>
      <c r="F35" s="2053">
        <v>2900</v>
      </c>
      <c r="G35" s="443">
        <f>2900-700</f>
        <v>2200</v>
      </c>
      <c r="H35" s="443">
        <v>2000</v>
      </c>
      <c r="I35" s="1340">
        <f>2000+61</f>
        <v>2061</v>
      </c>
      <c r="J35" s="1737"/>
      <c r="K35" s="16"/>
      <c r="L35" s="16"/>
    </row>
    <row r="36" spans="1:12" ht="15.75" customHeight="1" thickBot="1">
      <c r="B36" s="229" t="s">
        <v>176</v>
      </c>
      <c r="C36" s="230" t="s">
        <v>56</v>
      </c>
      <c r="D36" s="230" t="s">
        <v>569</v>
      </c>
      <c r="E36" s="453" t="s">
        <v>572</v>
      </c>
      <c r="F36" s="2054"/>
      <c r="G36" s="443">
        <f>700-8</f>
        <v>692</v>
      </c>
      <c r="H36" s="443">
        <v>900</v>
      </c>
      <c r="I36" s="1340">
        <v>900</v>
      </c>
    </row>
    <row r="37" spans="1:12" ht="15.75" customHeight="1" thickBot="1">
      <c r="B37" s="62" t="s">
        <v>176</v>
      </c>
      <c r="C37" s="61" t="s">
        <v>54</v>
      </c>
      <c r="D37" s="61" t="s">
        <v>569</v>
      </c>
      <c r="E37" s="442" t="s">
        <v>573</v>
      </c>
      <c r="F37" s="2059">
        <v>7500</v>
      </c>
      <c r="G37" s="443">
        <f>830-4.02234</f>
        <v>825.97766000000001</v>
      </c>
      <c r="H37" s="443">
        <v>930</v>
      </c>
      <c r="I37" s="1340">
        <v>930</v>
      </c>
    </row>
    <row r="38" spans="1:12" ht="15.75" customHeight="1" thickBot="1">
      <c r="B38" s="62" t="s">
        <v>180</v>
      </c>
      <c r="C38" s="61" t="s">
        <v>54</v>
      </c>
      <c r="D38" s="61" t="s">
        <v>569</v>
      </c>
      <c r="E38" s="442" t="s">
        <v>574</v>
      </c>
      <c r="F38" s="2060"/>
      <c r="G38" s="445">
        <v>6670</v>
      </c>
      <c r="H38" s="445">
        <v>6070</v>
      </c>
      <c r="I38" s="1339">
        <v>6070</v>
      </c>
    </row>
    <row r="39" spans="1:12" ht="15.75" customHeight="1" thickBot="1">
      <c r="B39" s="62" t="s">
        <v>176</v>
      </c>
      <c r="C39" s="61" t="s">
        <v>54</v>
      </c>
      <c r="D39" s="61" t="s">
        <v>569</v>
      </c>
      <c r="E39" s="442" t="s">
        <v>575</v>
      </c>
      <c r="F39" s="455">
        <v>0</v>
      </c>
      <c r="G39" s="455">
        <v>477</v>
      </c>
      <c r="H39" s="455">
        <v>0</v>
      </c>
      <c r="I39" s="1343">
        <v>0</v>
      </c>
    </row>
    <row r="40" spans="1:12" ht="15.75" customHeight="1" thickBot="1">
      <c r="A40" s="203">
        <v>513</v>
      </c>
      <c r="B40" s="2037" t="s">
        <v>576</v>
      </c>
      <c r="C40" s="2038"/>
      <c r="D40" s="2038"/>
      <c r="E40" s="2038"/>
      <c r="F40" s="444">
        <f>SUM(F34:F39)</f>
        <v>10400</v>
      </c>
      <c r="G40" s="444">
        <f>SUM(G34:G39)</f>
        <v>10872.97766</v>
      </c>
      <c r="H40" s="444">
        <f>SUM(H34:H39)</f>
        <v>9900</v>
      </c>
      <c r="I40" s="1338">
        <f>SUM(I34:I39)</f>
        <v>9961</v>
      </c>
    </row>
    <row r="41" spans="1:12" ht="15.75" customHeight="1" thickTop="1" thickBot="1">
      <c r="A41" s="203">
        <v>515</v>
      </c>
      <c r="B41" s="258">
        <v>3699</v>
      </c>
      <c r="C41" s="259" t="s">
        <v>56</v>
      </c>
      <c r="D41" s="259">
        <v>3698</v>
      </c>
      <c r="E41" s="456" t="s">
        <v>577</v>
      </c>
      <c r="F41" s="457">
        <v>720</v>
      </c>
      <c r="G41" s="457">
        <v>720</v>
      </c>
      <c r="H41" s="457">
        <v>0</v>
      </c>
      <c r="I41" s="1344">
        <v>0</v>
      </c>
    </row>
    <row r="42" spans="1:12" ht="15.75" customHeight="1" thickTop="1" thickBot="1">
      <c r="B42" s="458" t="s">
        <v>278</v>
      </c>
      <c r="C42" s="459" t="s">
        <v>65</v>
      </c>
      <c r="D42" s="459" t="s">
        <v>578</v>
      </c>
      <c r="E42" s="460" t="s">
        <v>579</v>
      </c>
      <c r="F42" s="441">
        <v>15</v>
      </c>
      <c r="G42" s="441">
        <v>15</v>
      </c>
      <c r="H42" s="441">
        <v>15</v>
      </c>
      <c r="I42" s="1345">
        <v>15</v>
      </c>
    </row>
    <row r="43" spans="1:12" ht="15.75" customHeight="1" thickBot="1">
      <c r="B43" s="461" t="s">
        <v>278</v>
      </c>
      <c r="C43" s="462" t="s">
        <v>51</v>
      </c>
      <c r="D43" s="462" t="s">
        <v>578</v>
      </c>
      <c r="E43" s="463" t="s">
        <v>156</v>
      </c>
      <c r="F43" s="464">
        <v>10</v>
      </c>
      <c r="G43" s="464">
        <v>10</v>
      </c>
      <c r="H43" s="464">
        <v>10</v>
      </c>
      <c r="I43" s="1346">
        <v>10</v>
      </c>
    </row>
    <row r="44" spans="1:12" ht="15.75" customHeight="1" thickBot="1">
      <c r="B44" s="465" t="s">
        <v>580</v>
      </c>
      <c r="C44" s="466">
        <v>5163</v>
      </c>
      <c r="D44" s="475" t="s">
        <v>581</v>
      </c>
      <c r="E44" s="467" t="s">
        <v>582</v>
      </c>
      <c r="F44" s="443">
        <v>5</v>
      </c>
      <c r="G44" s="443">
        <v>5</v>
      </c>
      <c r="H44" s="443">
        <v>5</v>
      </c>
      <c r="I44" s="1346">
        <v>5</v>
      </c>
    </row>
    <row r="45" spans="1:12" ht="15.75" customHeight="1" thickBot="1">
      <c r="B45" s="465">
        <v>3612</v>
      </c>
      <c r="C45" s="466">
        <v>5169</v>
      </c>
      <c r="D45" s="466" t="s">
        <v>578</v>
      </c>
      <c r="E45" s="467" t="s">
        <v>583</v>
      </c>
      <c r="F45" s="443">
        <v>100</v>
      </c>
      <c r="G45" s="443">
        <v>100</v>
      </c>
      <c r="H45" s="443">
        <v>100</v>
      </c>
      <c r="I45" s="1346">
        <f>100</f>
        <v>100</v>
      </c>
    </row>
    <row r="46" spans="1:12" ht="15.75" customHeight="1" thickBot="1">
      <c r="B46" s="465" t="s">
        <v>278</v>
      </c>
      <c r="C46" s="466" t="s">
        <v>54</v>
      </c>
      <c r="D46" s="466" t="s">
        <v>578</v>
      </c>
      <c r="E46" s="467" t="s">
        <v>53</v>
      </c>
      <c r="F46" s="443">
        <v>300</v>
      </c>
      <c r="G46" s="443">
        <f>300+2100+1000</f>
        <v>3400</v>
      </c>
      <c r="H46" s="443">
        <v>900</v>
      </c>
      <c r="I46" s="1346">
        <v>900</v>
      </c>
    </row>
    <row r="47" spans="1:12" ht="15.75" customHeight="1" thickBot="1">
      <c r="A47" s="203">
        <v>516</v>
      </c>
      <c r="B47" s="2037" t="s">
        <v>584</v>
      </c>
      <c r="C47" s="2038"/>
      <c r="D47" s="2038"/>
      <c r="E47" s="2038"/>
      <c r="F47" s="1535">
        <f>SUM(F42:F46)</f>
        <v>430</v>
      </c>
      <c r="G47" s="1535">
        <f>SUM(G42:G46)</f>
        <v>3530</v>
      </c>
      <c r="H47" s="1535">
        <f>SUM(H42:H46)</f>
        <v>1030</v>
      </c>
      <c r="I47" s="1431">
        <f>SUM(I42:I46)</f>
        <v>1030</v>
      </c>
    </row>
    <row r="48" spans="1:12" ht="15.75" customHeight="1" thickTop="1" thickBot="1">
      <c r="B48" s="889" t="s">
        <v>192</v>
      </c>
      <c r="C48" s="276" t="s">
        <v>56</v>
      </c>
      <c r="D48" s="276" t="s">
        <v>585</v>
      </c>
      <c r="E48" s="1331" t="s">
        <v>586</v>
      </c>
      <c r="F48" s="817">
        <v>100</v>
      </c>
      <c r="G48" s="1332">
        <v>100</v>
      </c>
      <c r="H48" s="1332">
        <v>650</v>
      </c>
      <c r="I48" s="1336">
        <v>650</v>
      </c>
    </row>
    <row r="49" spans="2:9" ht="15.75" customHeight="1" thickBot="1">
      <c r="B49" s="101" t="s">
        <v>192</v>
      </c>
      <c r="C49" s="137" t="s">
        <v>554</v>
      </c>
      <c r="D49" s="137" t="s">
        <v>585</v>
      </c>
      <c r="E49" s="1330" t="s">
        <v>587</v>
      </c>
      <c r="F49" s="779">
        <v>250</v>
      </c>
      <c r="G49" s="480">
        <f>250-10</f>
        <v>240</v>
      </c>
      <c r="H49" s="480">
        <v>550</v>
      </c>
      <c r="I49" s="1337">
        <v>550</v>
      </c>
    </row>
    <row r="50" spans="2:9" ht="15.75" customHeight="1" thickBot="1">
      <c r="B50" s="101" t="s">
        <v>588</v>
      </c>
      <c r="C50" s="137" t="s">
        <v>589</v>
      </c>
      <c r="D50" s="137" t="s">
        <v>585</v>
      </c>
      <c r="E50" s="1333" t="s">
        <v>590</v>
      </c>
      <c r="F50" s="779">
        <v>0</v>
      </c>
      <c r="G50" s="480">
        <f>10+10</f>
        <v>20</v>
      </c>
      <c r="H50" s="480">
        <v>0</v>
      </c>
      <c r="I50" s="1337">
        <v>0</v>
      </c>
    </row>
    <row r="51" spans="2:9" ht="15.75" customHeight="1" thickBot="1">
      <c r="B51" s="101" t="s">
        <v>192</v>
      </c>
      <c r="C51" s="137" t="s">
        <v>56</v>
      </c>
      <c r="D51" s="137" t="s">
        <v>591</v>
      </c>
      <c r="E51" s="1330" t="s">
        <v>592</v>
      </c>
      <c r="F51" s="779">
        <v>100</v>
      </c>
      <c r="G51" s="480">
        <f>100+57</f>
        <v>157</v>
      </c>
      <c r="H51" s="480">
        <v>200</v>
      </c>
      <c r="I51" s="1337">
        <v>200</v>
      </c>
    </row>
    <row r="52" spans="2:9" ht="15.75" customHeight="1" thickBot="1">
      <c r="B52" s="101" t="s">
        <v>192</v>
      </c>
      <c r="C52" s="137" t="s">
        <v>554</v>
      </c>
      <c r="D52" s="137" t="s">
        <v>591</v>
      </c>
      <c r="E52" s="1330" t="s">
        <v>593</v>
      </c>
      <c r="F52" s="779">
        <v>100</v>
      </c>
      <c r="G52" s="480">
        <f>100+150</f>
        <v>250</v>
      </c>
      <c r="H52" s="480">
        <v>200</v>
      </c>
      <c r="I52" s="1337">
        <v>200</v>
      </c>
    </row>
    <row r="53" spans="2:9" ht="15.75" customHeight="1" thickBot="1">
      <c r="B53" s="101" t="s">
        <v>192</v>
      </c>
      <c r="C53" s="137" t="s">
        <v>56</v>
      </c>
      <c r="D53" s="137" t="s">
        <v>594</v>
      </c>
      <c r="E53" s="1330" t="s">
        <v>595</v>
      </c>
      <c r="F53" s="779">
        <v>100</v>
      </c>
      <c r="G53" s="480">
        <v>100</v>
      </c>
      <c r="H53" s="480">
        <v>250</v>
      </c>
      <c r="I53" s="1337">
        <v>250</v>
      </c>
    </row>
    <row r="54" spans="2:9" ht="15.75" customHeight="1" thickBot="1">
      <c r="B54" s="101" t="s">
        <v>192</v>
      </c>
      <c r="C54" s="137" t="s">
        <v>554</v>
      </c>
      <c r="D54" s="137" t="s">
        <v>594</v>
      </c>
      <c r="E54" s="1330" t="s">
        <v>596</v>
      </c>
      <c r="F54" s="779">
        <v>3045</v>
      </c>
      <c r="G54" s="480">
        <f>3045-50-50-200-1050</f>
        <v>1695</v>
      </c>
      <c r="H54" s="480">
        <v>250</v>
      </c>
      <c r="I54" s="1337">
        <v>250</v>
      </c>
    </row>
    <row r="55" spans="2:9" ht="15.75" customHeight="1" thickBot="1">
      <c r="B55" s="101" t="s">
        <v>192</v>
      </c>
      <c r="C55" s="137" t="s">
        <v>189</v>
      </c>
      <c r="D55" s="137" t="s">
        <v>597</v>
      </c>
      <c r="E55" s="1330" t="s">
        <v>598</v>
      </c>
      <c r="F55" s="779">
        <v>0</v>
      </c>
      <c r="G55" s="480">
        <v>50</v>
      </c>
      <c r="H55" s="480">
        <v>0</v>
      </c>
      <c r="I55" s="1337">
        <v>0</v>
      </c>
    </row>
    <row r="56" spans="2:9" ht="15.75" customHeight="1" thickBot="1">
      <c r="B56" s="101" t="s">
        <v>192</v>
      </c>
      <c r="C56" s="137" t="s">
        <v>56</v>
      </c>
      <c r="D56" s="137" t="s">
        <v>597</v>
      </c>
      <c r="E56" s="1330" t="s">
        <v>599</v>
      </c>
      <c r="F56" s="779">
        <v>300</v>
      </c>
      <c r="G56" s="480">
        <v>300</v>
      </c>
      <c r="H56" s="480">
        <v>500</v>
      </c>
      <c r="I56" s="1337">
        <v>500</v>
      </c>
    </row>
    <row r="57" spans="2:9" ht="15.75" customHeight="1" thickBot="1">
      <c r="B57" s="447" t="s">
        <v>192</v>
      </c>
      <c r="C57" s="448" t="s">
        <v>554</v>
      </c>
      <c r="D57" s="448" t="s">
        <v>597</v>
      </c>
      <c r="E57" s="1333" t="s">
        <v>600</v>
      </c>
      <c r="F57" s="1334">
        <v>120</v>
      </c>
      <c r="G57" s="1335">
        <f>120+200+800</f>
        <v>1120</v>
      </c>
      <c r="H57" s="1335">
        <v>1250</v>
      </c>
      <c r="I57" s="1347">
        <v>1250</v>
      </c>
    </row>
    <row r="58" spans="2:9" ht="15.75" customHeight="1" thickBot="1">
      <c r="B58" s="101" t="s">
        <v>588</v>
      </c>
      <c r="C58" s="448" t="s">
        <v>589</v>
      </c>
      <c r="D58" s="448" t="s">
        <v>597</v>
      </c>
      <c r="E58" s="1333" t="s">
        <v>590</v>
      </c>
      <c r="F58" s="1334">
        <v>0</v>
      </c>
      <c r="G58" s="1335">
        <v>40</v>
      </c>
      <c r="H58" s="1335">
        <v>0</v>
      </c>
      <c r="I58" s="1347">
        <v>0</v>
      </c>
    </row>
    <row r="59" spans="2:9" ht="15.75" customHeight="1" thickBot="1">
      <c r="B59" s="101" t="s">
        <v>277</v>
      </c>
      <c r="C59" s="448" t="s">
        <v>656</v>
      </c>
      <c r="D59" s="448" t="s">
        <v>657</v>
      </c>
      <c r="E59" s="1333" t="s">
        <v>658</v>
      </c>
      <c r="F59" s="1334">
        <v>150</v>
      </c>
      <c r="G59" s="1335">
        <v>150</v>
      </c>
      <c r="H59" s="1335">
        <v>60</v>
      </c>
      <c r="I59" s="1337">
        <v>60</v>
      </c>
    </row>
    <row r="60" spans="2:9" ht="15.75" customHeight="1" thickBot="1">
      <c r="B60" s="101" t="s">
        <v>238</v>
      </c>
      <c r="C60" s="448" t="s">
        <v>554</v>
      </c>
      <c r="D60" s="448" t="s">
        <v>657</v>
      </c>
      <c r="E60" s="1333" t="s">
        <v>555</v>
      </c>
      <c r="F60" s="1334">
        <v>600</v>
      </c>
      <c r="G60" s="1335">
        <f>600-600</f>
        <v>0</v>
      </c>
      <c r="H60" s="1335">
        <v>0</v>
      </c>
      <c r="I60" s="1337">
        <v>0</v>
      </c>
    </row>
    <row r="61" spans="2:9" ht="15.75" customHeight="1" thickBot="1">
      <c r="B61" s="101" t="s">
        <v>277</v>
      </c>
      <c r="C61" s="448" t="s">
        <v>189</v>
      </c>
      <c r="D61" s="448" t="s">
        <v>657</v>
      </c>
      <c r="E61" s="1333" t="s">
        <v>659</v>
      </c>
      <c r="F61" s="1334">
        <v>3900</v>
      </c>
      <c r="G61" s="1335">
        <f>3900-550</f>
        <v>3350</v>
      </c>
      <c r="H61" s="1335">
        <v>2900</v>
      </c>
      <c r="I61" s="1337">
        <v>2900</v>
      </c>
    </row>
    <row r="62" spans="2:9" ht="15.75" customHeight="1" thickBot="1">
      <c r="B62" s="101" t="s">
        <v>277</v>
      </c>
      <c r="C62" s="448" t="s">
        <v>502</v>
      </c>
      <c r="D62" s="448" t="s">
        <v>657</v>
      </c>
      <c r="E62" s="1333" t="s">
        <v>660</v>
      </c>
      <c r="F62" s="1334">
        <v>0</v>
      </c>
      <c r="G62" s="1335">
        <f>550+600</f>
        <v>1150</v>
      </c>
      <c r="H62" s="1335">
        <v>700</v>
      </c>
      <c r="I62" s="1337">
        <v>700</v>
      </c>
    </row>
    <row r="63" spans="2:9" ht="15.75" customHeight="1" thickBot="1">
      <c r="B63" s="101" t="s">
        <v>192</v>
      </c>
      <c r="C63" s="137" t="s">
        <v>56</v>
      </c>
      <c r="D63" s="137" t="s">
        <v>601</v>
      </c>
      <c r="E63" s="1330" t="s">
        <v>602</v>
      </c>
      <c r="F63" s="779">
        <v>50</v>
      </c>
      <c r="G63" s="480">
        <v>50</v>
      </c>
      <c r="H63" s="480">
        <v>0</v>
      </c>
      <c r="I63" s="1337">
        <v>0</v>
      </c>
    </row>
    <row r="64" spans="2:9" ht="15.75" customHeight="1" thickBot="1">
      <c r="B64" s="101" t="s">
        <v>192</v>
      </c>
      <c r="C64" s="137" t="s">
        <v>554</v>
      </c>
      <c r="D64" s="137" t="s">
        <v>601</v>
      </c>
      <c r="E64" s="1330" t="s">
        <v>603</v>
      </c>
      <c r="F64" s="779">
        <v>1250</v>
      </c>
      <c r="G64" s="480">
        <v>1250</v>
      </c>
      <c r="H64" s="480">
        <v>1000</v>
      </c>
      <c r="I64" s="1337">
        <v>1000</v>
      </c>
    </row>
    <row r="65" spans="1:10" ht="15.75" customHeight="1" thickBot="1">
      <c r="A65" s="203">
        <v>535</v>
      </c>
      <c r="B65" s="2061" t="s">
        <v>604</v>
      </c>
      <c r="C65" s="2062"/>
      <c r="D65" s="2062"/>
      <c r="E65" s="2062"/>
      <c r="F65" s="457">
        <f>SUM(F48:F64)</f>
        <v>10065</v>
      </c>
      <c r="G65" s="457">
        <f>SUM(G48:G64)</f>
        <v>10022</v>
      </c>
      <c r="H65" s="457">
        <f>SUM(H48:H64)</f>
        <v>8510</v>
      </c>
      <c r="I65" s="1344">
        <f>SUM(I48:I64)</f>
        <v>8510</v>
      </c>
    </row>
    <row r="66" spans="1:10" ht="15.75" customHeight="1" thickBot="1">
      <c r="B66" s="101" t="s">
        <v>238</v>
      </c>
      <c r="C66" s="137" t="s">
        <v>365</v>
      </c>
      <c r="D66" s="137" t="s">
        <v>605</v>
      </c>
      <c r="E66" s="1330" t="s">
        <v>764</v>
      </c>
      <c r="F66" s="779">
        <v>0</v>
      </c>
      <c r="G66" s="480">
        <v>0</v>
      </c>
      <c r="H66" s="480">
        <v>100</v>
      </c>
      <c r="I66" s="1337">
        <v>100</v>
      </c>
    </row>
    <row r="67" spans="1:10" ht="15.75" customHeight="1" thickBot="1">
      <c r="B67" s="2063" t="s">
        <v>238</v>
      </c>
      <c r="C67" s="2055" t="s">
        <v>56</v>
      </c>
      <c r="D67" s="2055" t="s">
        <v>605</v>
      </c>
      <c r="E67" s="1330" t="s">
        <v>606</v>
      </c>
      <c r="F67" s="779">
        <v>0</v>
      </c>
      <c r="G67" s="480">
        <v>2500</v>
      </c>
      <c r="H67" s="480">
        <v>4400</v>
      </c>
      <c r="I67" s="1337">
        <v>4400</v>
      </c>
    </row>
    <row r="68" spans="1:10" ht="15.75" customHeight="1" thickBot="1">
      <c r="B68" s="2064"/>
      <c r="C68" s="2056"/>
      <c r="D68" s="2056"/>
      <c r="E68" s="1330" t="s">
        <v>55</v>
      </c>
      <c r="F68" s="779">
        <v>0</v>
      </c>
      <c r="G68" s="480">
        <v>300</v>
      </c>
      <c r="H68" s="480">
        <v>300</v>
      </c>
      <c r="I68" s="1337">
        <v>300</v>
      </c>
    </row>
    <row r="69" spans="1:10" ht="15.75" customHeight="1" thickBot="1">
      <c r="B69" s="2032" t="s">
        <v>607</v>
      </c>
      <c r="C69" s="2033"/>
      <c r="D69" s="2033"/>
      <c r="E69" s="2034"/>
      <c r="F69" s="457">
        <f>SUM(F66:F68)</f>
        <v>0</v>
      </c>
      <c r="G69" s="457">
        <f>SUM(G66:G68)</f>
        <v>2800</v>
      </c>
      <c r="H69" s="457">
        <f>SUM(H66:H68)</f>
        <v>4800</v>
      </c>
      <c r="I69" s="1344">
        <f>SUM(I66:I68)</f>
        <v>4800</v>
      </c>
    </row>
    <row r="70" spans="1:10" ht="15.75" customHeight="1" thickBot="1">
      <c r="B70" s="101" t="s">
        <v>277</v>
      </c>
      <c r="C70" s="137" t="s">
        <v>364</v>
      </c>
      <c r="D70" s="137" t="s">
        <v>608</v>
      </c>
      <c r="E70" s="1330" t="s">
        <v>611</v>
      </c>
      <c r="F70" s="779">
        <v>0</v>
      </c>
      <c r="G70" s="480">
        <v>0</v>
      </c>
      <c r="H70" s="480">
        <v>220</v>
      </c>
      <c r="I70" s="1337">
        <v>220</v>
      </c>
    </row>
    <row r="71" spans="1:10" ht="15.75" customHeight="1" thickBot="1">
      <c r="B71" s="101" t="s">
        <v>277</v>
      </c>
      <c r="C71" s="137" t="s">
        <v>56</v>
      </c>
      <c r="D71" s="137" t="s">
        <v>608</v>
      </c>
      <c r="E71" s="1330" t="s">
        <v>55</v>
      </c>
      <c r="F71" s="779">
        <v>0</v>
      </c>
      <c r="G71" s="480">
        <v>100</v>
      </c>
      <c r="H71" s="480">
        <v>0</v>
      </c>
      <c r="I71" s="1337">
        <v>0</v>
      </c>
    </row>
    <row r="72" spans="1:10" ht="15.75" customHeight="1" thickBot="1">
      <c r="B72" s="101" t="s">
        <v>277</v>
      </c>
      <c r="C72" s="137" t="s">
        <v>54</v>
      </c>
      <c r="D72" s="137" t="s">
        <v>608</v>
      </c>
      <c r="E72" s="1330" t="s">
        <v>609</v>
      </c>
      <c r="F72" s="779">
        <v>0</v>
      </c>
      <c r="G72" s="480">
        <v>300</v>
      </c>
      <c r="H72" s="480">
        <v>0</v>
      </c>
      <c r="I72" s="1337">
        <v>0</v>
      </c>
    </row>
    <row r="73" spans="1:10" ht="15.75" customHeight="1" thickBot="1">
      <c r="B73" s="101" t="s">
        <v>277</v>
      </c>
      <c r="C73" s="137" t="s">
        <v>364</v>
      </c>
      <c r="D73" s="137" t="s">
        <v>610</v>
      </c>
      <c r="E73" s="1330" t="s">
        <v>611</v>
      </c>
      <c r="F73" s="779">
        <v>0</v>
      </c>
      <c r="G73" s="480">
        <v>50</v>
      </c>
      <c r="H73" s="480">
        <v>0</v>
      </c>
      <c r="I73" s="1337">
        <v>0</v>
      </c>
    </row>
    <row r="74" spans="1:10" ht="15.75" customHeight="1" thickBot="1">
      <c r="B74" s="2039" t="s">
        <v>765</v>
      </c>
      <c r="C74" s="2040"/>
      <c r="D74" s="2040"/>
      <c r="E74" s="2041"/>
      <c r="F74" s="468">
        <f>SUM(F71:F73)</f>
        <v>0</v>
      </c>
      <c r="G74" s="457">
        <f>SUM(G70:G73)</f>
        <v>450</v>
      </c>
      <c r="H74" s="457">
        <f>SUM(H70:H73)</f>
        <v>220</v>
      </c>
      <c r="I74" s="1344">
        <f>SUM(I70:I73)</f>
        <v>220</v>
      </c>
    </row>
    <row r="75" spans="1:10" ht="15.75" customHeight="1" thickTop="1" thickBot="1">
      <c r="B75" s="102" t="s">
        <v>238</v>
      </c>
      <c r="C75" s="85" t="s">
        <v>56</v>
      </c>
      <c r="D75" s="85" t="s">
        <v>614</v>
      </c>
      <c r="E75" s="440" t="s">
        <v>615</v>
      </c>
      <c r="F75" s="441">
        <v>2000</v>
      </c>
      <c r="G75" s="441">
        <v>2000</v>
      </c>
      <c r="H75" s="441">
        <v>1500</v>
      </c>
      <c r="I75" s="1345">
        <f>1500+128</f>
        <v>1628</v>
      </c>
      <c r="J75" s="971"/>
    </row>
    <row r="76" spans="1:10" ht="15.75" customHeight="1" thickBot="1">
      <c r="B76" s="62" t="s">
        <v>238</v>
      </c>
      <c r="C76" s="61" t="s">
        <v>54</v>
      </c>
      <c r="D76" s="61" t="s">
        <v>614</v>
      </c>
      <c r="E76" s="247" t="s">
        <v>616</v>
      </c>
      <c r="F76" s="469">
        <v>12000</v>
      </c>
      <c r="G76" s="469">
        <v>12000</v>
      </c>
      <c r="H76" s="469">
        <v>16120</v>
      </c>
      <c r="I76" s="1348">
        <v>16120</v>
      </c>
    </row>
    <row r="77" spans="1:10" ht="15.75" customHeight="1" thickBot="1">
      <c r="B77" s="62" t="s">
        <v>238</v>
      </c>
      <c r="C77" s="61" t="s">
        <v>54</v>
      </c>
      <c r="D77" s="61" t="s">
        <v>614</v>
      </c>
      <c r="E77" s="247" t="s">
        <v>617</v>
      </c>
      <c r="F77" s="469">
        <v>0</v>
      </c>
      <c r="G77" s="469">
        <f>3800+250</f>
        <v>4050</v>
      </c>
      <c r="H77" s="469">
        <v>0</v>
      </c>
      <c r="I77" s="1348">
        <v>7231</v>
      </c>
      <c r="J77" s="971"/>
    </row>
    <row r="78" spans="1:10" ht="15.75" customHeight="1" thickBot="1">
      <c r="B78" s="62" t="s">
        <v>238</v>
      </c>
      <c r="C78" s="61" t="s">
        <v>54</v>
      </c>
      <c r="D78" s="61" t="s">
        <v>614</v>
      </c>
      <c r="E78" s="247" t="s">
        <v>618</v>
      </c>
      <c r="F78" s="470">
        <v>0</v>
      </c>
      <c r="G78" s="470">
        <v>1700</v>
      </c>
      <c r="H78" s="470">
        <v>0</v>
      </c>
      <c r="I78" s="1349">
        <v>0</v>
      </c>
    </row>
    <row r="79" spans="1:10" ht="15.75" customHeight="1" thickBot="1">
      <c r="A79" s="203">
        <v>517</v>
      </c>
      <c r="B79" s="2057" t="s">
        <v>619</v>
      </c>
      <c r="C79" s="2058"/>
      <c r="D79" s="2058"/>
      <c r="E79" s="2038"/>
      <c r="F79" s="444">
        <f>SUM(F75:F78)</f>
        <v>14000</v>
      </c>
      <c r="G79" s="444">
        <f>SUM(G75:G78)</f>
        <v>19750</v>
      </c>
      <c r="H79" s="444">
        <f>SUM(H75:H78)</f>
        <v>17620</v>
      </c>
      <c r="I79" s="1338">
        <f>SUM(I75:I78)</f>
        <v>24979</v>
      </c>
    </row>
    <row r="80" spans="1:10" ht="15.75" customHeight="1" thickTop="1" thickBot="1">
      <c r="B80" s="102">
        <v>6171</v>
      </c>
      <c r="C80" s="85">
        <v>5151</v>
      </c>
      <c r="D80" s="85" t="s">
        <v>620</v>
      </c>
      <c r="E80" s="440" t="s">
        <v>89</v>
      </c>
      <c r="F80" s="441">
        <v>30</v>
      </c>
      <c r="G80" s="441">
        <v>30</v>
      </c>
      <c r="H80" s="441">
        <v>32</v>
      </c>
      <c r="I80" s="1345">
        <v>32</v>
      </c>
    </row>
    <row r="81" spans="1:9" ht="15.75" customHeight="1" thickBot="1">
      <c r="B81" s="62">
        <v>6171</v>
      </c>
      <c r="C81" s="61">
        <v>5153</v>
      </c>
      <c r="D81" s="61" t="s">
        <v>620</v>
      </c>
      <c r="E81" s="442" t="s">
        <v>88</v>
      </c>
      <c r="F81" s="443">
        <v>210</v>
      </c>
      <c r="G81" s="443">
        <v>210</v>
      </c>
      <c r="H81" s="443">
        <v>210</v>
      </c>
      <c r="I81" s="1340">
        <v>210</v>
      </c>
    </row>
    <row r="82" spans="1:9" ht="15.75" customHeight="1" thickBot="1">
      <c r="B82" s="62">
        <v>6171</v>
      </c>
      <c r="C82" s="61">
        <v>5154</v>
      </c>
      <c r="D82" s="61" t="s">
        <v>620</v>
      </c>
      <c r="E82" s="442" t="s">
        <v>87</v>
      </c>
      <c r="F82" s="443">
        <v>200</v>
      </c>
      <c r="G82" s="443">
        <v>200</v>
      </c>
      <c r="H82" s="443">
        <v>200</v>
      </c>
      <c r="I82" s="1340">
        <v>200</v>
      </c>
    </row>
    <row r="83" spans="1:9" ht="15.75" customHeight="1" thickBot="1">
      <c r="B83" s="62">
        <v>6171</v>
      </c>
      <c r="C83" s="61" t="s">
        <v>56</v>
      </c>
      <c r="D83" s="61" t="s">
        <v>620</v>
      </c>
      <c r="E83" s="442" t="s">
        <v>621</v>
      </c>
      <c r="F83" s="443">
        <v>120</v>
      </c>
      <c r="G83" s="443">
        <v>120</v>
      </c>
      <c r="H83" s="443">
        <v>120</v>
      </c>
      <c r="I83" s="1340">
        <v>120</v>
      </c>
    </row>
    <row r="84" spans="1:9" ht="15.75" customHeight="1" thickBot="1">
      <c r="B84" s="62">
        <v>6171</v>
      </c>
      <c r="C84" s="61">
        <v>5171</v>
      </c>
      <c r="D84" s="61" t="s">
        <v>620</v>
      </c>
      <c r="E84" s="442" t="s">
        <v>53</v>
      </c>
      <c r="F84" s="443">
        <v>150</v>
      </c>
      <c r="G84" s="443">
        <f>150-0.60984</f>
        <v>149.39016000000001</v>
      </c>
      <c r="H84" s="443">
        <v>180</v>
      </c>
      <c r="I84" s="1340">
        <v>180</v>
      </c>
    </row>
    <row r="85" spans="1:9" ht="15.75" customHeight="1" thickBot="1">
      <c r="A85" s="203">
        <v>518</v>
      </c>
      <c r="B85" s="2037" t="s">
        <v>622</v>
      </c>
      <c r="C85" s="2038"/>
      <c r="D85" s="2038"/>
      <c r="E85" s="2038"/>
      <c r="F85" s="444">
        <f>SUM(F80:F84)</f>
        <v>710</v>
      </c>
      <c r="G85" s="444">
        <f>SUM(G80:G84)</f>
        <v>709.39016000000004</v>
      </c>
      <c r="H85" s="444">
        <f>SUM(H80:H84)</f>
        <v>742</v>
      </c>
      <c r="I85" s="1338">
        <f>SUM(I80:I84)</f>
        <v>742</v>
      </c>
    </row>
    <row r="86" spans="1:9" ht="15.75" customHeight="1" thickTop="1" thickBot="1">
      <c r="B86" s="62" t="s">
        <v>623</v>
      </c>
      <c r="C86" s="85" t="s">
        <v>364</v>
      </c>
      <c r="D86" s="85" t="s">
        <v>624</v>
      </c>
      <c r="E86" s="440" t="s">
        <v>611</v>
      </c>
      <c r="F86" s="441">
        <v>180</v>
      </c>
      <c r="G86" s="441">
        <v>180</v>
      </c>
      <c r="H86" s="441">
        <v>180</v>
      </c>
      <c r="I86" s="1345">
        <v>180</v>
      </c>
    </row>
    <row r="87" spans="1:9" ht="15.75" customHeight="1" thickBot="1">
      <c r="B87" s="62" t="s">
        <v>623</v>
      </c>
      <c r="C87" s="61" t="s">
        <v>612</v>
      </c>
      <c r="D87" s="61" t="s">
        <v>624</v>
      </c>
      <c r="E87" s="442" t="s">
        <v>613</v>
      </c>
      <c r="F87" s="443">
        <v>1100</v>
      </c>
      <c r="G87" s="443">
        <v>1100</v>
      </c>
      <c r="H87" s="443">
        <v>1150</v>
      </c>
      <c r="I87" s="1340">
        <v>1150</v>
      </c>
    </row>
    <row r="88" spans="1:9" ht="15.75" customHeight="1" thickBot="1">
      <c r="B88" s="62" t="s">
        <v>623</v>
      </c>
      <c r="C88" s="61" t="s">
        <v>365</v>
      </c>
      <c r="D88" s="61" t="s">
        <v>624</v>
      </c>
      <c r="E88" s="442" t="s">
        <v>87</v>
      </c>
      <c r="F88" s="443">
        <v>450</v>
      </c>
      <c r="G88" s="443">
        <v>450</v>
      </c>
      <c r="H88" s="443">
        <v>450</v>
      </c>
      <c r="I88" s="1340">
        <v>450</v>
      </c>
    </row>
    <row r="89" spans="1:9" ht="15.75" customHeight="1" thickBot="1">
      <c r="B89" s="62" t="s">
        <v>623</v>
      </c>
      <c r="C89" s="61" t="s">
        <v>56</v>
      </c>
      <c r="D89" s="61" t="s">
        <v>624</v>
      </c>
      <c r="E89" s="442" t="s">
        <v>625</v>
      </c>
      <c r="F89" s="443">
        <v>190</v>
      </c>
      <c r="G89" s="443">
        <v>190</v>
      </c>
      <c r="H89" s="443">
        <v>350</v>
      </c>
      <c r="I89" s="1340">
        <v>350</v>
      </c>
    </row>
    <row r="90" spans="1:9" ht="15.75" customHeight="1" thickBot="1">
      <c r="B90" s="527" t="s">
        <v>623</v>
      </c>
      <c r="C90" s="528" t="s">
        <v>54</v>
      </c>
      <c r="D90" s="528" t="s">
        <v>624</v>
      </c>
      <c r="E90" s="529" t="s">
        <v>53</v>
      </c>
      <c r="F90" s="443">
        <v>0</v>
      </c>
      <c r="G90" s="443">
        <v>0</v>
      </c>
      <c r="H90" s="443">
        <v>150</v>
      </c>
      <c r="I90" s="1340">
        <v>150</v>
      </c>
    </row>
    <row r="91" spans="1:9" ht="15.75" customHeight="1" thickBot="1">
      <c r="A91" s="203">
        <v>531</v>
      </c>
      <c r="B91" s="2032" t="s">
        <v>626</v>
      </c>
      <c r="C91" s="2033"/>
      <c r="D91" s="2033"/>
      <c r="E91" s="2034"/>
      <c r="F91" s="444">
        <f>SUM(F86:F90)</f>
        <v>1920</v>
      </c>
      <c r="G91" s="444">
        <f>SUM(G86:G90)</f>
        <v>1920</v>
      </c>
      <c r="H91" s="444">
        <f>SUM(H86:H90)</f>
        <v>2280</v>
      </c>
      <c r="I91" s="1338">
        <f>SUM(I86:I90)</f>
        <v>2280</v>
      </c>
    </row>
    <row r="92" spans="1:9" ht="15.75" customHeight="1" thickBot="1">
      <c r="B92" s="62" t="s">
        <v>200</v>
      </c>
      <c r="C92" s="61" t="s">
        <v>627</v>
      </c>
      <c r="D92" s="61" t="s">
        <v>628</v>
      </c>
      <c r="E92" s="442" t="s">
        <v>629</v>
      </c>
      <c r="F92" s="443">
        <v>0</v>
      </c>
      <c r="G92" s="443">
        <v>1</v>
      </c>
      <c r="H92" s="443">
        <v>1</v>
      </c>
      <c r="I92" s="1340">
        <v>1</v>
      </c>
    </row>
    <row r="93" spans="1:9" ht="15.75" customHeight="1" thickBot="1">
      <c r="B93" s="62" t="s">
        <v>200</v>
      </c>
      <c r="C93" s="61" t="s">
        <v>65</v>
      </c>
      <c r="D93" s="61" t="s">
        <v>628</v>
      </c>
      <c r="E93" s="442" t="s">
        <v>525</v>
      </c>
      <c r="F93" s="443">
        <v>70</v>
      </c>
      <c r="G93" s="443">
        <f>70+72.876-7.88</f>
        <v>134.99600000000001</v>
      </c>
      <c r="H93" s="443">
        <v>500</v>
      </c>
      <c r="I93" s="1340">
        <v>500</v>
      </c>
    </row>
    <row r="94" spans="1:9" ht="15.75" customHeight="1" thickBot="1">
      <c r="B94" s="62" t="s">
        <v>200</v>
      </c>
      <c r="C94" s="61" t="s">
        <v>51</v>
      </c>
      <c r="D94" s="61" t="s">
        <v>628</v>
      </c>
      <c r="E94" s="442" t="s">
        <v>156</v>
      </c>
      <c r="F94" s="443">
        <v>50</v>
      </c>
      <c r="G94" s="443">
        <f>50-1+50+60</f>
        <v>159</v>
      </c>
      <c r="H94" s="443">
        <v>150</v>
      </c>
      <c r="I94" s="1340">
        <v>150</v>
      </c>
    </row>
    <row r="95" spans="1:9" ht="15.75" customHeight="1" thickBot="1">
      <c r="B95" s="62" t="s">
        <v>200</v>
      </c>
      <c r="C95" s="61" t="s">
        <v>364</v>
      </c>
      <c r="D95" s="61" t="s">
        <v>628</v>
      </c>
      <c r="E95" s="442" t="s">
        <v>611</v>
      </c>
      <c r="F95" s="443">
        <v>167</v>
      </c>
      <c r="G95" s="443">
        <v>167</v>
      </c>
      <c r="H95" s="443">
        <v>165</v>
      </c>
      <c r="I95" s="1340">
        <v>165</v>
      </c>
    </row>
    <row r="96" spans="1:9" ht="15.75" customHeight="1" thickBot="1">
      <c r="B96" s="62" t="s">
        <v>200</v>
      </c>
      <c r="C96" s="61" t="s">
        <v>630</v>
      </c>
      <c r="D96" s="61" t="s">
        <v>628</v>
      </c>
      <c r="E96" s="442" t="s">
        <v>88</v>
      </c>
      <c r="F96" s="443">
        <v>143</v>
      </c>
      <c r="G96" s="443">
        <v>143</v>
      </c>
      <c r="H96" s="443">
        <v>143</v>
      </c>
      <c r="I96" s="1340">
        <v>143</v>
      </c>
    </row>
    <row r="97" spans="1:10" ht="15.75" customHeight="1" thickBot="1">
      <c r="B97" s="62" t="s">
        <v>200</v>
      </c>
      <c r="C97" s="74" t="s">
        <v>365</v>
      </c>
      <c r="D97" s="74" t="s">
        <v>628</v>
      </c>
      <c r="E97" s="473" t="s">
        <v>87</v>
      </c>
      <c r="F97" s="454">
        <v>400</v>
      </c>
      <c r="G97" s="454">
        <v>400</v>
      </c>
      <c r="H97" s="454">
        <v>300</v>
      </c>
      <c r="I97" s="1350">
        <v>300</v>
      </c>
    </row>
    <row r="98" spans="1:10" ht="15.75" customHeight="1" thickBot="1">
      <c r="B98" s="62" t="s">
        <v>200</v>
      </c>
      <c r="C98" s="74" t="s">
        <v>193</v>
      </c>
      <c r="D98" s="74" t="s">
        <v>628</v>
      </c>
      <c r="E98" s="473" t="s">
        <v>631</v>
      </c>
      <c r="F98" s="454">
        <v>39</v>
      </c>
      <c r="G98" s="454">
        <v>39</v>
      </c>
      <c r="H98" s="454">
        <v>15</v>
      </c>
      <c r="I98" s="1350">
        <v>15</v>
      </c>
    </row>
    <row r="99" spans="1:10" ht="15.75" customHeight="1" thickBot="1">
      <c r="B99" s="62" t="s">
        <v>200</v>
      </c>
      <c r="C99" s="61" t="s">
        <v>56</v>
      </c>
      <c r="D99" s="61" t="s">
        <v>628</v>
      </c>
      <c r="E99" s="442" t="s">
        <v>632</v>
      </c>
      <c r="F99" s="443">
        <v>3892</v>
      </c>
      <c r="G99" s="443">
        <f>3892-50</f>
        <v>3842</v>
      </c>
      <c r="H99" s="443">
        <v>3360</v>
      </c>
      <c r="I99" s="1340">
        <v>3360</v>
      </c>
    </row>
    <row r="100" spans="1:10" ht="15.75" customHeight="1" thickBot="1">
      <c r="B100" s="62" t="s">
        <v>200</v>
      </c>
      <c r="C100" s="61" t="s">
        <v>56</v>
      </c>
      <c r="D100" s="61" t="s">
        <v>628</v>
      </c>
      <c r="E100" s="442" t="s">
        <v>633</v>
      </c>
      <c r="F100" s="443">
        <v>0</v>
      </c>
      <c r="G100" s="443">
        <v>60</v>
      </c>
      <c r="H100" s="443">
        <v>0</v>
      </c>
      <c r="I100" s="1340">
        <v>0</v>
      </c>
    </row>
    <row r="101" spans="1:10" ht="15.75" customHeight="1" thickBot="1">
      <c r="B101" s="62" t="s">
        <v>200</v>
      </c>
      <c r="C101" s="61" t="s">
        <v>56</v>
      </c>
      <c r="D101" s="61" t="s">
        <v>628</v>
      </c>
      <c r="E101" s="442" t="s">
        <v>766</v>
      </c>
      <c r="F101" s="443">
        <v>0</v>
      </c>
      <c r="G101" s="443">
        <v>0</v>
      </c>
      <c r="H101" s="443">
        <v>84</v>
      </c>
      <c r="I101" s="1340">
        <v>84</v>
      </c>
    </row>
    <row r="102" spans="1:10" ht="15.75" customHeight="1" thickBot="1">
      <c r="B102" s="62" t="s">
        <v>200</v>
      </c>
      <c r="C102" s="61" t="s">
        <v>54</v>
      </c>
      <c r="D102" s="61" t="s">
        <v>628</v>
      </c>
      <c r="E102" s="442" t="s">
        <v>53</v>
      </c>
      <c r="F102" s="443">
        <v>1080</v>
      </c>
      <c r="G102" s="443">
        <f>1080+2500-60-0.84</f>
        <v>3519.16</v>
      </c>
      <c r="H102" s="443">
        <v>365</v>
      </c>
      <c r="I102" s="1340">
        <f>365+3106</f>
        <v>3471</v>
      </c>
      <c r="J102" s="971"/>
    </row>
    <row r="103" spans="1:10" ht="15.75" customHeight="1" thickBot="1">
      <c r="A103" s="203">
        <v>533</v>
      </c>
      <c r="B103" s="2032" t="s">
        <v>634</v>
      </c>
      <c r="C103" s="2033"/>
      <c r="D103" s="2033"/>
      <c r="E103" s="2034"/>
      <c r="F103" s="472">
        <f>SUM(F92:F102)</f>
        <v>5841</v>
      </c>
      <c r="G103" s="472">
        <f>SUM(G92:G102)</f>
        <v>8465.155999999999</v>
      </c>
      <c r="H103" s="472">
        <f>SUM(H92:H102)</f>
        <v>5083</v>
      </c>
      <c r="I103" s="1351">
        <f>SUM(I92:I102)</f>
        <v>8189</v>
      </c>
    </row>
    <row r="104" spans="1:10" ht="15.75" customHeight="1" thickBot="1">
      <c r="B104" s="62" t="s">
        <v>200</v>
      </c>
      <c r="C104" s="61" t="s">
        <v>627</v>
      </c>
      <c r="D104" s="74" t="s">
        <v>635</v>
      </c>
      <c r="E104" s="442" t="s">
        <v>629</v>
      </c>
      <c r="F104" s="443">
        <v>2</v>
      </c>
      <c r="G104" s="443">
        <v>2</v>
      </c>
      <c r="H104" s="443">
        <v>2</v>
      </c>
      <c r="I104" s="1340">
        <v>2</v>
      </c>
    </row>
    <row r="105" spans="1:10" ht="15.75" customHeight="1" thickBot="1">
      <c r="B105" s="62" t="s">
        <v>200</v>
      </c>
      <c r="C105" s="61" t="s">
        <v>51</v>
      </c>
      <c r="D105" s="61" t="s">
        <v>635</v>
      </c>
      <c r="E105" s="442" t="s">
        <v>156</v>
      </c>
      <c r="F105" s="443">
        <v>18</v>
      </c>
      <c r="G105" s="443">
        <v>18</v>
      </c>
      <c r="H105" s="443">
        <v>25</v>
      </c>
      <c r="I105" s="1340">
        <v>25</v>
      </c>
    </row>
    <row r="106" spans="1:10" ht="15.75" customHeight="1" thickBot="1">
      <c r="B106" s="62" t="s">
        <v>200</v>
      </c>
      <c r="C106" s="74" t="s">
        <v>364</v>
      </c>
      <c r="D106" s="74" t="s">
        <v>635</v>
      </c>
      <c r="E106" s="473" t="s">
        <v>89</v>
      </c>
      <c r="F106" s="454">
        <v>10</v>
      </c>
      <c r="G106" s="454">
        <v>10</v>
      </c>
      <c r="H106" s="454">
        <v>10</v>
      </c>
      <c r="I106" s="1350">
        <v>10</v>
      </c>
    </row>
    <row r="107" spans="1:10" ht="15.75" customHeight="1" thickBot="1">
      <c r="B107" s="62" t="s">
        <v>200</v>
      </c>
      <c r="C107" s="61" t="s">
        <v>365</v>
      </c>
      <c r="D107" s="61" t="s">
        <v>635</v>
      </c>
      <c r="E107" s="442" t="s">
        <v>87</v>
      </c>
      <c r="F107" s="443">
        <v>95</v>
      </c>
      <c r="G107" s="443">
        <v>95</v>
      </c>
      <c r="H107" s="443">
        <v>95</v>
      </c>
      <c r="I107" s="1340">
        <v>95</v>
      </c>
    </row>
    <row r="108" spans="1:10" ht="15.75" customHeight="1" thickBot="1">
      <c r="B108" s="62" t="s">
        <v>200</v>
      </c>
      <c r="C108" s="61" t="s">
        <v>366</v>
      </c>
      <c r="D108" s="61" t="s">
        <v>635</v>
      </c>
      <c r="E108" s="442" t="s">
        <v>636</v>
      </c>
      <c r="F108" s="443">
        <v>3</v>
      </c>
      <c r="G108" s="443">
        <v>3</v>
      </c>
      <c r="H108" s="443">
        <v>4</v>
      </c>
      <c r="I108" s="1340">
        <v>4</v>
      </c>
    </row>
    <row r="109" spans="1:10" ht="15.75" customHeight="1" thickBot="1">
      <c r="B109" s="62" t="s">
        <v>200</v>
      </c>
      <c r="C109" s="74" t="s">
        <v>56</v>
      </c>
      <c r="D109" s="74" t="s">
        <v>635</v>
      </c>
      <c r="E109" s="473" t="s">
        <v>211</v>
      </c>
      <c r="F109" s="454">
        <v>169</v>
      </c>
      <c r="G109" s="454">
        <v>169</v>
      </c>
      <c r="H109" s="454">
        <v>238</v>
      </c>
      <c r="I109" s="1350">
        <v>238</v>
      </c>
    </row>
    <row r="110" spans="1:10" ht="15.75" customHeight="1" thickBot="1">
      <c r="B110" s="62" t="s">
        <v>200</v>
      </c>
      <c r="C110" s="74" t="s">
        <v>54</v>
      </c>
      <c r="D110" s="74" t="s">
        <v>635</v>
      </c>
      <c r="E110" s="473" t="s">
        <v>637</v>
      </c>
      <c r="F110" s="454">
        <v>51</v>
      </c>
      <c r="G110" s="454">
        <f>51+100</f>
        <v>151</v>
      </c>
      <c r="H110" s="454">
        <v>205</v>
      </c>
      <c r="I110" s="1350">
        <v>205</v>
      </c>
    </row>
    <row r="111" spans="1:10" ht="15.75" customHeight="1" thickBot="1">
      <c r="A111" s="203">
        <v>534</v>
      </c>
      <c r="B111" s="2046" t="s">
        <v>638</v>
      </c>
      <c r="C111" s="2047"/>
      <c r="D111" s="2047"/>
      <c r="E111" s="2048"/>
      <c r="F111" s="472">
        <f>SUM(F104:F110)</f>
        <v>348</v>
      </c>
      <c r="G111" s="472">
        <f>SUM(G104:G110)</f>
        <v>448</v>
      </c>
      <c r="H111" s="472">
        <f>SUM(H104:H110)</f>
        <v>579</v>
      </c>
      <c r="I111" s="1351">
        <f>SUM(I104:I110)</f>
        <v>579</v>
      </c>
    </row>
    <row r="112" spans="1:10" ht="15.75" customHeight="1" thickBot="1">
      <c r="B112" s="474" t="s">
        <v>176</v>
      </c>
      <c r="C112" s="475" t="s">
        <v>56</v>
      </c>
      <c r="D112" s="475" t="s">
        <v>639</v>
      </c>
      <c r="E112" s="476" t="s">
        <v>640</v>
      </c>
      <c r="F112" s="2053">
        <v>200</v>
      </c>
      <c r="G112" s="454">
        <v>350</v>
      </c>
      <c r="H112" s="454">
        <v>300</v>
      </c>
      <c r="I112" s="1350">
        <v>300</v>
      </c>
    </row>
    <row r="113" spans="1:9" ht="15.75" customHeight="1" thickBot="1">
      <c r="B113" s="474" t="s">
        <v>277</v>
      </c>
      <c r="C113" s="475" t="s">
        <v>56</v>
      </c>
      <c r="D113" s="475" t="s">
        <v>639</v>
      </c>
      <c r="E113" s="476" t="s">
        <v>641</v>
      </c>
      <c r="F113" s="2054"/>
      <c r="G113" s="454">
        <f>1350-350</f>
        <v>1000</v>
      </c>
      <c r="H113" s="454">
        <v>1000</v>
      </c>
      <c r="I113" s="1350">
        <v>1000</v>
      </c>
    </row>
    <row r="114" spans="1:9" ht="15.75" customHeight="1" thickBot="1">
      <c r="A114" s="203">
        <v>557</v>
      </c>
      <c r="B114" s="2046" t="s">
        <v>641</v>
      </c>
      <c r="C114" s="2047"/>
      <c r="D114" s="2047"/>
      <c r="E114" s="2048"/>
      <c r="F114" s="472">
        <f>SUM(F112)</f>
        <v>200</v>
      </c>
      <c r="G114" s="472">
        <f>SUM(G112:G113)</f>
        <v>1350</v>
      </c>
      <c r="H114" s="472">
        <f>SUM(H112:H113)</f>
        <v>1300</v>
      </c>
      <c r="I114" s="1351">
        <f>SUM(I112:I113)</f>
        <v>1300</v>
      </c>
    </row>
    <row r="115" spans="1:9" ht="15.75" customHeight="1" thickBot="1">
      <c r="B115" s="62" t="s">
        <v>200</v>
      </c>
      <c r="C115" s="61" t="s">
        <v>627</v>
      </c>
      <c r="D115" s="61" t="s">
        <v>642</v>
      </c>
      <c r="E115" s="442" t="s">
        <v>629</v>
      </c>
      <c r="F115" s="443">
        <v>0</v>
      </c>
      <c r="G115" s="443">
        <v>1</v>
      </c>
      <c r="H115" s="443">
        <v>1</v>
      </c>
      <c r="I115" s="1340">
        <v>1</v>
      </c>
    </row>
    <row r="116" spans="1:9" ht="15.75" customHeight="1" thickBot="1">
      <c r="B116" s="477" t="s">
        <v>200</v>
      </c>
      <c r="C116" s="478" t="s">
        <v>65</v>
      </c>
      <c r="D116" s="478" t="s">
        <v>642</v>
      </c>
      <c r="E116" s="479" t="s">
        <v>525</v>
      </c>
      <c r="F116" s="480">
        <v>20</v>
      </c>
      <c r="G116" s="480">
        <v>20</v>
      </c>
      <c r="H116" s="480">
        <v>25</v>
      </c>
      <c r="I116" s="1337">
        <v>25</v>
      </c>
    </row>
    <row r="117" spans="1:9" ht="15.75" customHeight="1" thickBot="1">
      <c r="B117" s="477" t="s">
        <v>200</v>
      </c>
      <c r="C117" s="478" t="s">
        <v>51</v>
      </c>
      <c r="D117" s="478" t="s">
        <v>642</v>
      </c>
      <c r="E117" s="479" t="s">
        <v>50</v>
      </c>
      <c r="F117" s="480">
        <v>50</v>
      </c>
      <c r="G117" s="480">
        <f>50-1+50</f>
        <v>99</v>
      </c>
      <c r="H117" s="480">
        <v>177</v>
      </c>
      <c r="I117" s="1337">
        <v>177</v>
      </c>
    </row>
    <row r="118" spans="1:9" ht="15.75" customHeight="1" thickBot="1">
      <c r="B118" s="477" t="s">
        <v>200</v>
      </c>
      <c r="C118" s="478" t="s">
        <v>364</v>
      </c>
      <c r="D118" s="478" t="s">
        <v>642</v>
      </c>
      <c r="E118" s="479" t="s">
        <v>89</v>
      </c>
      <c r="F118" s="480">
        <v>120</v>
      </c>
      <c r="G118" s="480">
        <v>120</v>
      </c>
      <c r="H118" s="480">
        <v>140</v>
      </c>
      <c r="I118" s="1337">
        <v>140</v>
      </c>
    </row>
    <row r="119" spans="1:9" ht="15.75" customHeight="1" thickBot="1">
      <c r="B119" s="477" t="s">
        <v>200</v>
      </c>
      <c r="C119" s="478" t="s">
        <v>365</v>
      </c>
      <c r="D119" s="478" t="s">
        <v>642</v>
      </c>
      <c r="E119" s="479" t="s">
        <v>87</v>
      </c>
      <c r="F119" s="480">
        <v>140</v>
      </c>
      <c r="G119" s="480">
        <v>140</v>
      </c>
      <c r="H119" s="480">
        <v>160</v>
      </c>
      <c r="I119" s="1337">
        <v>160</v>
      </c>
    </row>
    <row r="120" spans="1:9" ht="15.75" customHeight="1" thickBot="1">
      <c r="B120" s="477" t="s">
        <v>200</v>
      </c>
      <c r="C120" s="478" t="s">
        <v>193</v>
      </c>
      <c r="D120" s="478" t="s">
        <v>642</v>
      </c>
      <c r="E120" s="479" t="s">
        <v>631</v>
      </c>
      <c r="F120" s="480">
        <v>50</v>
      </c>
      <c r="G120" s="469">
        <v>50</v>
      </c>
      <c r="H120" s="469">
        <v>40</v>
      </c>
      <c r="I120" s="1348">
        <v>40</v>
      </c>
    </row>
    <row r="121" spans="1:9" ht="15.75" customHeight="1" thickBot="1">
      <c r="B121" s="477" t="s">
        <v>200</v>
      </c>
      <c r="C121" s="478" t="s">
        <v>56</v>
      </c>
      <c r="D121" s="478" t="s">
        <v>642</v>
      </c>
      <c r="E121" s="481" t="s">
        <v>643</v>
      </c>
      <c r="F121" s="469">
        <f>1756+120</f>
        <v>1876</v>
      </c>
      <c r="G121" s="469">
        <f>1756+120</f>
        <v>1876</v>
      </c>
      <c r="H121" s="469">
        <v>1138</v>
      </c>
      <c r="I121" s="1348">
        <v>1138</v>
      </c>
    </row>
    <row r="122" spans="1:9" ht="15.75" customHeight="1" thickBot="1">
      <c r="B122" s="530" t="s">
        <v>200</v>
      </c>
      <c r="C122" s="531" t="s">
        <v>56</v>
      </c>
      <c r="D122" s="531" t="s">
        <v>642</v>
      </c>
      <c r="E122" s="481" t="s">
        <v>766</v>
      </c>
      <c r="F122" s="469">
        <v>0</v>
      </c>
      <c r="G122" s="469">
        <v>0</v>
      </c>
      <c r="H122" s="469">
        <v>380</v>
      </c>
      <c r="I122" s="1348">
        <v>380</v>
      </c>
    </row>
    <row r="123" spans="1:9" ht="15.75" customHeight="1" thickBot="1">
      <c r="B123" s="477" t="s">
        <v>200</v>
      </c>
      <c r="C123" s="478" t="s">
        <v>54</v>
      </c>
      <c r="D123" s="478" t="s">
        <v>642</v>
      </c>
      <c r="E123" s="481" t="s">
        <v>563</v>
      </c>
      <c r="F123" s="469">
        <v>2100</v>
      </c>
      <c r="G123" s="469">
        <f>2100-3.43035-91.31023-50-28.77252</f>
        <v>1926.4868999999999</v>
      </c>
      <c r="H123" s="469">
        <v>1084</v>
      </c>
      <c r="I123" s="1348">
        <v>1084</v>
      </c>
    </row>
    <row r="124" spans="1:9" ht="15.75" customHeight="1" thickBot="1">
      <c r="B124" s="477" t="s">
        <v>200</v>
      </c>
      <c r="C124" s="478" t="s">
        <v>54</v>
      </c>
      <c r="D124" s="478" t="s">
        <v>642</v>
      </c>
      <c r="E124" s="481" t="s">
        <v>644</v>
      </c>
      <c r="F124" s="469">
        <v>0</v>
      </c>
      <c r="G124" s="469">
        <f>131-22.00065</f>
        <v>108.99934999999999</v>
      </c>
      <c r="H124" s="469">
        <v>0</v>
      </c>
      <c r="I124" s="1348">
        <v>0</v>
      </c>
    </row>
    <row r="125" spans="1:9" ht="15.75" customHeight="1" thickBot="1">
      <c r="B125" s="477" t="s">
        <v>200</v>
      </c>
      <c r="C125" s="478" t="s">
        <v>54</v>
      </c>
      <c r="D125" s="478" t="s">
        <v>642</v>
      </c>
      <c r="E125" s="481" t="s">
        <v>645</v>
      </c>
      <c r="F125" s="469">
        <v>2400</v>
      </c>
      <c r="G125" s="469">
        <f>2400+258.228-2550</f>
        <v>108.22800000000007</v>
      </c>
      <c r="H125" s="469">
        <v>0</v>
      </c>
      <c r="I125" s="1348">
        <v>0</v>
      </c>
    </row>
    <row r="126" spans="1:9" ht="15.75" hidden="1" customHeight="1" thickBot="1">
      <c r="B126" s="477" t="s">
        <v>200</v>
      </c>
      <c r="C126" s="478" t="s">
        <v>502</v>
      </c>
      <c r="D126" s="478" t="s">
        <v>642</v>
      </c>
      <c r="E126" s="481" t="s">
        <v>646</v>
      </c>
      <c r="F126" s="469">
        <v>0</v>
      </c>
      <c r="G126" s="469">
        <v>0</v>
      </c>
      <c r="H126" s="469"/>
      <c r="I126" s="1348"/>
    </row>
    <row r="127" spans="1:9" ht="15.75" hidden="1" customHeight="1" thickBot="1">
      <c r="B127" s="477" t="s">
        <v>200</v>
      </c>
      <c r="C127" s="478" t="s">
        <v>647</v>
      </c>
      <c r="D127" s="478" t="s">
        <v>642</v>
      </c>
      <c r="E127" s="481" t="s">
        <v>648</v>
      </c>
      <c r="F127" s="469">
        <v>0</v>
      </c>
      <c r="G127" s="469">
        <v>0</v>
      </c>
      <c r="H127" s="469"/>
      <c r="I127" s="1348"/>
    </row>
    <row r="128" spans="1:9" ht="15.75" customHeight="1" thickBot="1">
      <c r="A128" s="203">
        <v>559</v>
      </c>
      <c r="B128" s="2046" t="s">
        <v>649</v>
      </c>
      <c r="C128" s="2047"/>
      <c r="D128" s="2047"/>
      <c r="E128" s="2048"/>
      <c r="F128" s="472">
        <f>SUM(F115:F125)</f>
        <v>6756</v>
      </c>
      <c r="G128" s="472">
        <f>SUM(G115:G125)</f>
        <v>4449.71425</v>
      </c>
      <c r="H128" s="472">
        <f>SUM(H115:H125)</f>
        <v>3145</v>
      </c>
      <c r="I128" s="1351">
        <f>SUM(I115:I125)</f>
        <v>3145</v>
      </c>
    </row>
    <row r="129" spans="1:12" ht="15.75" customHeight="1" thickBot="1">
      <c r="B129" s="258" t="s">
        <v>277</v>
      </c>
      <c r="C129" s="259" t="s">
        <v>65</v>
      </c>
      <c r="D129" s="259" t="s">
        <v>650</v>
      </c>
      <c r="E129" s="471" t="s">
        <v>651</v>
      </c>
      <c r="F129" s="472">
        <v>0</v>
      </c>
      <c r="G129" s="472">
        <f>730.814</f>
        <v>730.81399999999996</v>
      </c>
      <c r="H129" s="472">
        <v>0</v>
      </c>
      <c r="I129" s="1351">
        <v>0</v>
      </c>
    </row>
    <row r="130" spans="1:12" ht="15.75" customHeight="1" thickBot="1">
      <c r="A130" s="203">
        <v>560</v>
      </c>
      <c r="B130" s="254" t="s">
        <v>652</v>
      </c>
      <c r="C130" s="255" t="s">
        <v>653</v>
      </c>
      <c r="D130" s="255" t="s">
        <v>654</v>
      </c>
      <c r="E130" s="488" t="s">
        <v>655</v>
      </c>
      <c r="F130" s="472">
        <v>0</v>
      </c>
      <c r="G130" s="472">
        <v>0</v>
      </c>
      <c r="H130" s="472">
        <v>0</v>
      </c>
      <c r="I130" s="1351">
        <v>0</v>
      </c>
    </row>
    <row r="131" spans="1:12" ht="15.75" customHeight="1" thickBot="1">
      <c r="B131" s="117" t="s">
        <v>661</v>
      </c>
      <c r="C131" s="118" t="s">
        <v>56</v>
      </c>
      <c r="D131" s="118" t="s">
        <v>662</v>
      </c>
      <c r="E131" s="500" t="s">
        <v>663</v>
      </c>
      <c r="F131" s="501">
        <v>450</v>
      </c>
      <c r="G131" s="501">
        <v>450</v>
      </c>
      <c r="H131" s="501">
        <v>380</v>
      </c>
      <c r="I131" s="1772">
        <v>380</v>
      </c>
    </row>
    <row r="132" spans="1:12" ht="15.75" hidden="1" customHeight="1" thickTop="1" thickBot="1">
      <c r="A132" s="203">
        <v>5920</v>
      </c>
      <c r="B132" s="26" t="s">
        <v>238</v>
      </c>
      <c r="C132" s="25" t="s">
        <v>56</v>
      </c>
      <c r="D132" s="25" t="s">
        <v>664</v>
      </c>
      <c r="E132" s="483" t="s">
        <v>665</v>
      </c>
      <c r="F132" s="484">
        <v>0</v>
      </c>
      <c r="G132" s="485">
        <v>0</v>
      </c>
      <c r="H132" s="485"/>
      <c r="I132" s="526"/>
    </row>
    <row r="133" spans="1:12" s="286" customFormat="1" ht="6" customHeight="1" thickTop="1" thickBot="1">
      <c r="A133" s="239"/>
      <c r="B133" s="22"/>
      <c r="C133" s="22"/>
      <c r="D133" s="21"/>
      <c r="E133" s="20"/>
      <c r="F133" s="486"/>
      <c r="G133" s="486"/>
      <c r="H133" s="486"/>
      <c r="I133" s="486"/>
    </row>
    <row r="134" spans="1:12" s="16" customFormat="1" ht="15.75" customHeight="1" thickTop="1" thickBot="1">
      <c r="A134" s="209"/>
      <c r="B134" s="292"/>
      <c r="C134" s="292"/>
      <c r="D134" s="292"/>
      <c r="E134" s="15" t="s">
        <v>30</v>
      </c>
      <c r="F134" s="298">
        <f>SUM(F11,F19,F33,F40:F41,F47,F65,F69,F74,F79,F85,F103,F111,F114,F91:F91,F128:F130,F131)</f>
        <v>63752</v>
      </c>
      <c r="G134" s="298">
        <f>SUM(G11,G19,G33,G40:G41,G47,G65,G69,G74,G79,G85,G103,G111,G114,G91:G91,G128:G130,G131)</f>
        <v>79065.034119999997</v>
      </c>
      <c r="H134" s="298">
        <f>SUM(H11,H19,H33,H40:H41,H47,H65,H69,H74,H79,H85,H103,H111,H114,H91:H91,H128:H130,H131)</f>
        <v>71934</v>
      </c>
      <c r="I134" s="1360">
        <f>SUM(I11,I19,I33,I40:I41,I47,I65,I69,I74,I79,I85,I103,I111,I114,I91:I91,I128:I130,I131)</f>
        <v>90711</v>
      </c>
      <c r="J134" s="828"/>
    </row>
    <row r="135" spans="1:12" s="16" customFormat="1" ht="10.5" customHeight="1" thickTop="1">
      <c r="A135" s="209"/>
      <c r="B135" s="292"/>
      <c r="C135" s="292"/>
      <c r="D135" s="292"/>
      <c r="E135" s="43"/>
      <c r="F135" s="1396"/>
      <c r="G135" s="1396"/>
      <c r="H135" s="1396"/>
      <c r="I135" s="1396"/>
    </row>
    <row r="136" spans="1:12" ht="20.25" customHeight="1">
      <c r="B136" s="273"/>
      <c r="C136" s="273"/>
      <c r="D136" s="273"/>
      <c r="E136" s="3"/>
      <c r="F136" s="2"/>
      <c r="G136" s="2"/>
      <c r="H136" s="2"/>
      <c r="I136" s="2"/>
    </row>
    <row r="137" spans="1:12" ht="15.75" customHeight="1">
      <c r="B137" s="273"/>
      <c r="C137" s="273"/>
      <c r="D137" s="273"/>
      <c r="E137" s="3"/>
      <c r="F137" s="2"/>
      <c r="G137" s="2"/>
      <c r="H137" s="2"/>
      <c r="I137" s="2"/>
    </row>
    <row r="138" spans="1:12" ht="2.25" customHeight="1" thickBot="1">
      <c r="B138" s="273"/>
      <c r="C138" s="273"/>
      <c r="D138" s="273"/>
      <c r="E138" s="3"/>
      <c r="F138" s="2"/>
      <c r="G138" s="2"/>
      <c r="H138" s="2"/>
      <c r="I138" s="2"/>
    </row>
    <row r="139" spans="1:12" ht="15.75" customHeight="1" thickTop="1">
      <c r="B139" s="41"/>
      <c r="C139" s="163"/>
      <c r="D139" s="164"/>
      <c r="E139" s="38"/>
      <c r="F139" s="1965" t="s">
        <v>44</v>
      </c>
      <c r="G139" s="1965" t="s">
        <v>43</v>
      </c>
      <c r="H139" s="1962" t="s">
        <v>1487</v>
      </c>
      <c r="I139" s="1971" t="s">
        <v>1488</v>
      </c>
    </row>
    <row r="140" spans="1:12" ht="15.75" customHeight="1">
      <c r="B140" s="36" t="s">
        <v>42</v>
      </c>
      <c r="C140" s="35" t="s">
        <v>41</v>
      </c>
      <c r="D140" s="34" t="s">
        <v>40</v>
      </c>
      <c r="E140" s="33"/>
      <c r="F140" s="1966"/>
      <c r="G140" s="1966"/>
      <c r="H140" s="1963"/>
      <c r="I140" s="1972"/>
    </row>
    <row r="141" spans="1:12" ht="15.75" customHeight="1" thickBot="1">
      <c r="B141" s="940"/>
      <c r="C141" s="941"/>
      <c r="D141" s="942"/>
      <c r="E141" s="943"/>
      <c r="F141" s="1967"/>
      <c r="G141" s="1967"/>
      <c r="H141" s="1964"/>
      <c r="I141" s="1973"/>
    </row>
    <row r="142" spans="1:12" ht="15.75" customHeight="1" thickTop="1" thickBot="1">
      <c r="B142" s="1887">
        <v>3639</v>
      </c>
      <c r="C142" s="1888">
        <v>6130</v>
      </c>
      <c r="D142" s="1888">
        <v>3901</v>
      </c>
      <c r="E142" s="944" t="s">
        <v>667</v>
      </c>
      <c r="F142" s="945">
        <v>300</v>
      </c>
      <c r="G142" s="945">
        <v>300</v>
      </c>
      <c r="H142" s="945">
        <v>500</v>
      </c>
      <c r="I142" s="1397">
        <v>500</v>
      </c>
    </row>
    <row r="143" spans="1:12" ht="15.75" customHeight="1" thickBot="1">
      <c r="B143" s="1889">
        <v>2212</v>
      </c>
      <c r="C143" s="1890">
        <v>6129</v>
      </c>
      <c r="D143" s="1890">
        <v>3971</v>
      </c>
      <c r="E143" s="1794" t="s">
        <v>670</v>
      </c>
      <c r="F143" s="1795">
        <v>1200</v>
      </c>
      <c r="G143" s="1795">
        <v>1200</v>
      </c>
      <c r="H143" s="1795">
        <v>450</v>
      </c>
      <c r="I143" s="1414">
        <v>450</v>
      </c>
      <c r="J143" s="122"/>
      <c r="K143" s="122"/>
      <c r="L143" s="122"/>
    </row>
    <row r="144" spans="1:12" ht="15.75" customHeight="1" thickTop="1" thickBot="1">
      <c r="B144" s="1807" t="s">
        <v>174</v>
      </c>
      <c r="C144" s="1807" t="s">
        <v>1189</v>
      </c>
      <c r="D144" s="1807" t="s">
        <v>1447</v>
      </c>
      <c r="E144" s="1808" t="s">
        <v>1185</v>
      </c>
      <c r="F144" s="1809">
        <v>0</v>
      </c>
      <c r="G144" s="1809">
        <v>0</v>
      </c>
      <c r="H144" s="1809">
        <f>SUM(H184:H185,H182,H178:H179,H176,H174,H170:H172,H167:H168,H160:H163,H155:H157,H153,H145:H146,H149:H151)</f>
        <v>46100</v>
      </c>
      <c r="I144" s="1809">
        <f>SUM(I184:I185,I182,I178:I179,I176,I174,I170:I172,I167:I168,I160:I163,I155:I157,I153,I145:I146,I149:I151)</f>
        <v>46100</v>
      </c>
      <c r="J144" s="122"/>
      <c r="K144" s="122"/>
      <c r="L144" s="122"/>
    </row>
    <row r="145" spans="1:10" ht="15.75" customHeight="1" thickTop="1" thickBot="1">
      <c r="A145" s="203">
        <v>612</v>
      </c>
      <c r="B145" s="1796"/>
      <c r="C145" s="1797"/>
      <c r="D145" s="1797" t="s">
        <v>578</v>
      </c>
      <c r="E145" s="1798" t="s">
        <v>666</v>
      </c>
      <c r="F145" s="1819">
        <v>2500</v>
      </c>
      <c r="G145" s="1819">
        <v>2500</v>
      </c>
      <c r="H145" s="1819">
        <v>1000</v>
      </c>
      <c r="I145" s="1820">
        <v>1000</v>
      </c>
      <c r="J145" s="122"/>
    </row>
    <row r="146" spans="1:10" ht="15.75" customHeight="1" thickBot="1">
      <c r="B146" s="1759"/>
      <c r="C146" s="1760"/>
      <c r="D146" s="1760" t="s">
        <v>1498</v>
      </c>
      <c r="E146" s="1761" t="s">
        <v>1196</v>
      </c>
      <c r="F146" s="1821">
        <v>0</v>
      </c>
      <c r="G146" s="1821">
        <v>350</v>
      </c>
      <c r="H146" s="1821">
        <v>500</v>
      </c>
      <c r="I146" s="1822">
        <v>500</v>
      </c>
      <c r="J146" s="122"/>
    </row>
    <row r="147" spans="1:10" ht="15.75" customHeight="1" thickBot="1">
      <c r="B147" s="1762" t="s">
        <v>277</v>
      </c>
      <c r="C147" s="257" t="s">
        <v>248</v>
      </c>
      <c r="D147" s="495" t="s">
        <v>1498</v>
      </c>
      <c r="E147" s="1763" t="s">
        <v>1530</v>
      </c>
      <c r="F147" s="780">
        <v>0</v>
      </c>
      <c r="G147" s="780">
        <v>3351</v>
      </c>
      <c r="H147" s="780">
        <v>0</v>
      </c>
      <c r="I147" s="1399">
        <v>120</v>
      </c>
      <c r="J147" s="1736"/>
    </row>
    <row r="148" spans="1:10" ht="15.75" customHeight="1" thickBot="1">
      <c r="A148" s="203">
        <v>622</v>
      </c>
      <c r="B148" s="2046" t="s">
        <v>671</v>
      </c>
      <c r="C148" s="2047"/>
      <c r="D148" s="2047"/>
      <c r="E148" s="2048"/>
      <c r="F148" s="884">
        <f>SUM(F146:F147)</f>
        <v>0</v>
      </c>
      <c r="G148" s="884">
        <f>SUM(G146:G147)</f>
        <v>3701</v>
      </c>
      <c r="H148" s="884">
        <f>SUM(H146:H147)</f>
        <v>500</v>
      </c>
      <c r="I148" s="1398">
        <f>SUM(I146:I147)</f>
        <v>620</v>
      </c>
      <c r="J148" s="122"/>
    </row>
    <row r="149" spans="1:10" ht="15.75" customHeight="1" thickBot="1">
      <c r="B149" s="1759"/>
      <c r="C149" s="1760"/>
      <c r="D149" s="1760" t="s">
        <v>1499</v>
      </c>
      <c r="E149" s="1761" t="s">
        <v>672</v>
      </c>
      <c r="F149" s="1821">
        <v>7200</v>
      </c>
      <c r="G149" s="1821">
        <f>7200-2100-350-560.59059-98.02905</f>
        <v>4091.3803600000001</v>
      </c>
      <c r="H149" s="1821">
        <v>7700</v>
      </c>
      <c r="I149" s="1822">
        <v>7700</v>
      </c>
      <c r="J149" s="122"/>
    </row>
    <row r="150" spans="1:10" ht="15.75" customHeight="1" thickBot="1">
      <c r="B150" s="1759"/>
      <c r="C150" s="1760"/>
      <c r="D150" s="1760" t="s">
        <v>1499</v>
      </c>
      <c r="E150" s="1761" t="s">
        <v>262</v>
      </c>
      <c r="F150" s="1821">
        <v>0</v>
      </c>
      <c r="G150" s="1821">
        <f>5060.4-297.1731-92.60391</f>
        <v>4670.6229899999998</v>
      </c>
      <c r="H150" s="1821">
        <v>0</v>
      </c>
      <c r="I150" s="1822">
        <v>0</v>
      </c>
      <c r="J150" s="122"/>
    </row>
    <row r="151" spans="1:10" ht="15.75" customHeight="1" thickBot="1">
      <c r="B151" s="1759"/>
      <c r="C151" s="1760"/>
      <c r="D151" s="1760" t="s">
        <v>1499</v>
      </c>
      <c r="E151" s="1761" t="s">
        <v>673</v>
      </c>
      <c r="F151" s="1821">
        <v>0</v>
      </c>
      <c r="G151" s="1821">
        <f>610</f>
        <v>610</v>
      </c>
      <c r="H151" s="1821">
        <v>0</v>
      </c>
      <c r="I151" s="1822">
        <v>0</v>
      </c>
      <c r="J151" s="122"/>
    </row>
    <row r="152" spans="1:10" ht="15.75" customHeight="1" thickBot="1">
      <c r="A152" s="203">
        <v>613</v>
      </c>
      <c r="B152" s="2046" t="s">
        <v>672</v>
      </c>
      <c r="C152" s="2047"/>
      <c r="D152" s="2047"/>
      <c r="E152" s="2048"/>
      <c r="F152" s="884">
        <f>SUM(F149:F151)</f>
        <v>7200</v>
      </c>
      <c r="G152" s="884">
        <f>SUM(G149:G151)</f>
        <v>9372.003349999999</v>
      </c>
      <c r="H152" s="884">
        <f>SUM(H149:H151)</f>
        <v>7700</v>
      </c>
      <c r="I152" s="1398">
        <f>SUM(I149:I151)</f>
        <v>7700</v>
      </c>
      <c r="J152" s="122"/>
    </row>
    <row r="153" spans="1:10" ht="15.75" customHeight="1" thickBot="1">
      <c r="B153" s="1759"/>
      <c r="C153" s="1760"/>
      <c r="D153" s="1760" t="s">
        <v>1500</v>
      </c>
      <c r="E153" s="1761" t="s">
        <v>674</v>
      </c>
      <c r="F153" s="1821">
        <v>950</v>
      </c>
      <c r="G153" s="1821">
        <v>950</v>
      </c>
      <c r="H153" s="1821">
        <v>600</v>
      </c>
      <c r="I153" s="1822">
        <v>600</v>
      </c>
      <c r="J153" s="122"/>
    </row>
    <row r="154" spans="1:10" ht="15.75" customHeight="1" thickBot="1">
      <c r="A154" s="203">
        <v>614</v>
      </c>
      <c r="B154" s="2046" t="s">
        <v>674</v>
      </c>
      <c r="C154" s="2047"/>
      <c r="D154" s="2047"/>
      <c r="E154" s="2048"/>
      <c r="F154" s="884">
        <f>SUM(F153:F153)</f>
        <v>950</v>
      </c>
      <c r="G154" s="884">
        <f>SUM(G153:G153)</f>
        <v>950</v>
      </c>
      <c r="H154" s="884">
        <f>SUM(H153:H153)</f>
        <v>600</v>
      </c>
      <c r="I154" s="1398">
        <f>SUM(I153:I153)</f>
        <v>600</v>
      </c>
      <c r="J154" s="122"/>
    </row>
    <row r="155" spans="1:10" ht="15.75" customHeight="1" thickBot="1">
      <c r="B155" s="1759"/>
      <c r="C155" s="1760"/>
      <c r="D155" s="1760" t="s">
        <v>1501</v>
      </c>
      <c r="E155" s="1761" t="s">
        <v>675</v>
      </c>
      <c r="F155" s="2049">
        <v>8500</v>
      </c>
      <c r="G155" s="1821">
        <f>8500-150-450-500</f>
        <v>7400</v>
      </c>
      <c r="H155" s="2049">
        <v>4810</v>
      </c>
      <c r="I155" s="2065">
        <v>4810</v>
      </c>
      <c r="J155" s="122"/>
    </row>
    <row r="156" spans="1:10" ht="15.75" customHeight="1" thickBot="1">
      <c r="B156" s="1759"/>
      <c r="C156" s="1760"/>
      <c r="D156" s="1760" t="s">
        <v>1501</v>
      </c>
      <c r="E156" s="1761" t="s">
        <v>676</v>
      </c>
      <c r="F156" s="2050"/>
      <c r="G156" s="1821">
        <v>500</v>
      </c>
      <c r="H156" s="2050"/>
      <c r="I156" s="2066"/>
      <c r="J156" s="122"/>
    </row>
    <row r="157" spans="1:10" ht="15.75" customHeight="1" thickBot="1">
      <c r="B157" s="1759"/>
      <c r="C157" s="1760"/>
      <c r="D157" s="1760" t="s">
        <v>1501</v>
      </c>
      <c r="E157" s="1764" t="s">
        <v>262</v>
      </c>
      <c r="F157" s="1821">
        <v>0</v>
      </c>
      <c r="G157" s="1821">
        <v>2040.08</v>
      </c>
      <c r="H157" s="1821">
        <v>0</v>
      </c>
      <c r="I157" s="1822">
        <v>0</v>
      </c>
      <c r="J157" s="122"/>
    </row>
    <row r="158" spans="1:10" ht="15.75" customHeight="1" thickBot="1">
      <c r="B158" s="1762" t="s">
        <v>180</v>
      </c>
      <c r="C158" s="257" t="s">
        <v>248</v>
      </c>
      <c r="D158" s="495" t="s">
        <v>1501</v>
      </c>
      <c r="E158" s="1763" t="s">
        <v>1506</v>
      </c>
      <c r="F158" s="780">
        <v>0</v>
      </c>
      <c r="G158" s="780">
        <v>0</v>
      </c>
      <c r="H158" s="780">
        <v>0</v>
      </c>
      <c r="I158" s="1399">
        <v>740</v>
      </c>
      <c r="J158" s="1736"/>
    </row>
    <row r="159" spans="1:10" ht="15.75" customHeight="1" thickBot="1">
      <c r="A159" s="203">
        <v>615</v>
      </c>
      <c r="B159" s="2046" t="s">
        <v>677</v>
      </c>
      <c r="C159" s="2047"/>
      <c r="D159" s="2047"/>
      <c r="E159" s="2048"/>
      <c r="F159" s="884">
        <f>SUM(F155:F157)</f>
        <v>8500</v>
      </c>
      <c r="G159" s="884">
        <f>SUM(G155:G157)</f>
        <v>9940.08</v>
      </c>
      <c r="H159" s="884">
        <f>SUM(H155:H158)</f>
        <v>4810</v>
      </c>
      <c r="I159" s="1398">
        <f>SUM(I155:I158)</f>
        <v>5550</v>
      </c>
      <c r="J159" s="122"/>
    </row>
    <row r="160" spans="1:10" ht="15.75" customHeight="1" thickBot="1">
      <c r="A160" s="203">
        <v>601</v>
      </c>
      <c r="B160" s="1757"/>
      <c r="C160" s="1758"/>
      <c r="D160" s="1758" t="s">
        <v>1502</v>
      </c>
      <c r="E160" s="1738" t="s">
        <v>678</v>
      </c>
      <c r="F160" s="1821">
        <v>1000</v>
      </c>
      <c r="G160" s="1821">
        <v>1000</v>
      </c>
      <c r="H160" s="1821">
        <v>1550</v>
      </c>
      <c r="I160" s="1822">
        <v>1550</v>
      </c>
      <c r="J160" s="122"/>
    </row>
    <row r="161" spans="1:10" ht="15.75" customHeight="1" thickBot="1">
      <c r="A161" s="203">
        <v>602</v>
      </c>
      <c r="B161" s="1757"/>
      <c r="C161" s="1758"/>
      <c r="D161" s="1758" t="s">
        <v>668</v>
      </c>
      <c r="E161" s="1738" t="s">
        <v>679</v>
      </c>
      <c r="F161" s="1821">
        <v>4500</v>
      </c>
      <c r="G161" s="1821">
        <v>4500</v>
      </c>
      <c r="H161" s="1821">
        <v>850</v>
      </c>
      <c r="I161" s="1822">
        <v>850</v>
      </c>
      <c r="J161" s="122"/>
    </row>
    <row r="162" spans="1:10" ht="15.75" customHeight="1" thickBot="1">
      <c r="B162" s="1766"/>
      <c r="C162" s="1767"/>
      <c r="D162" s="1760" t="s">
        <v>1503</v>
      </c>
      <c r="E162" s="1761" t="s">
        <v>680</v>
      </c>
      <c r="F162" s="2049">
        <v>15700</v>
      </c>
      <c r="G162" s="1821">
        <f>4800-500-4000</f>
        <v>300</v>
      </c>
      <c r="H162" s="2049">
        <v>4940</v>
      </c>
      <c r="I162" s="2065">
        <v>4940</v>
      </c>
      <c r="J162" s="1736"/>
    </row>
    <row r="163" spans="1:10" ht="15.75" customHeight="1" thickBot="1">
      <c r="B163" s="1766"/>
      <c r="C163" s="1767"/>
      <c r="D163" s="1760" t="s">
        <v>1503</v>
      </c>
      <c r="E163" s="1761" t="s">
        <v>681</v>
      </c>
      <c r="F163" s="2050"/>
      <c r="G163" s="1821">
        <f>15700-150-2780-2340-4800-500+4000</f>
        <v>9130</v>
      </c>
      <c r="H163" s="2050"/>
      <c r="I163" s="2066"/>
      <c r="J163" s="1736"/>
    </row>
    <row r="164" spans="1:10" ht="15.75" customHeight="1" thickBot="1">
      <c r="B164" s="1762" t="s">
        <v>176</v>
      </c>
      <c r="C164" s="257" t="s">
        <v>248</v>
      </c>
      <c r="D164" s="495" t="s">
        <v>1503</v>
      </c>
      <c r="E164" s="1765" t="s">
        <v>1520</v>
      </c>
      <c r="F164" s="2051">
        <v>0</v>
      </c>
      <c r="G164" s="2051">
        <v>4255</v>
      </c>
      <c r="H164" s="2051">
        <v>0</v>
      </c>
      <c r="I164" s="1355">
        <v>5314</v>
      </c>
      <c r="J164" s="1736"/>
    </row>
    <row r="165" spans="1:10" ht="15.75" customHeight="1" thickBot="1">
      <c r="B165" s="1762" t="s">
        <v>180</v>
      </c>
      <c r="C165" s="257" t="s">
        <v>248</v>
      </c>
      <c r="D165" s="495" t="s">
        <v>1503</v>
      </c>
      <c r="E165" s="1765" t="s">
        <v>1532</v>
      </c>
      <c r="F165" s="2052"/>
      <c r="G165" s="2052"/>
      <c r="H165" s="2052"/>
      <c r="I165" s="1355">
        <v>2012</v>
      </c>
      <c r="J165" s="1736"/>
    </row>
    <row r="166" spans="1:10" ht="15.75" customHeight="1" thickBot="1">
      <c r="A166" s="203">
        <v>617</v>
      </c>
      <c r="B166" s="2046" t="s">
        <v>682</v>
      </c>
      <c r="C166" s="2047"/>
      <c r="D166" s="2047"/>
      <c r="E166" s="2048"/>
      <c r="F166" s="884">
        <f>SUM(F162:F164)</f>
        <v>15700</v>
      </c>
      <c r="G166" s="884">
        <f>SUM(G162:G164)</f>
        <v>13685</v>
      </c>
      <c r="H166" s="884">
        <v>4940</v>
      </c>
      <c r="I166" s="1398">
        <f>SUM(I162:I165)</f>
        <v>12266</v>
      </c>
      <c r="J166" s="122"/>
    </row>
    <row r="167" spans="1:10" ht="15.75" customHeight="1" thickBot="1">
      <c r="B167" s="1759"/>
      <c r="C167" s="1760"/>
      <c r="D167" s="1760" t="s">
        <v>642</v>
      </c>
      <c r="E167" s="1761" t="s">
        <v>683</v>
      </c>
      <c r="F167" s="1821">
        <v>0</v>
      </c>
      <c r="G167" s="1821">
        <v>50</v>
      </c>
      <c r="H167" s="1821">
        <v>0</v>
      </c>
      <c r="I167" s="1822">
        <v>0</v>
      </c>
      <c r="J167" s="122"/>
    </row>
    <row r="168" spans="1:10" ht="15.75" customHeight="1" thickBot="1">
      <c r="B168" s="1759"/>
      <c r="C168" s="1760"/>
      <c r="D168" s="1760" t="s">
        <v>642</v>
      </c>
      <c r="E168" s="1761" t="s">
        <v>1534</v>
      </c>
      <c r="F168" s="1821">
        <v>0</v>
      </c>
      <c r="G168" s="1821">
        <v>0</v>
      </c>
      <c r="H168" s="1821">
        <v>1100</v>
      </c>
      <c r="I168" s="1822">
        <v>1100</v>
      </c>
      <c r="J168" s="122"/>
    </row>
    <row r="169" spans="1:10" ht="15.75" customHeight="1" thickBot="1">
      <c r="A169" s="203">
        <v>558</v>
      </c>
      <c r="B169" s="2046" t="s">
        <v>684</v>
      </c>
      <c r="C169" s="2047"/>
      <c r="D169" s="2047"/>
      <c r="E169" s="2048"/>
      <c r="F169" s="884">
        <f>SUM(F167:F168)</f>
        <v>0</v>
      </c>
      <c r="G169" s="884">
        <f t="shared" ref="G169:I169" si="0">SUM(G167:G168)</f>
        <v>50</v>
      </c>
      <c r="H169" s="884">
        <f t="shared" si="0"/>
        <v>1100</v>
      </c>
      <c r="I169" s="1398">
        <f t="shared" si="0"/>
        <v>1100</v>
      </c>
      <c r="J169" s="122"/>
    </row>
    <row r="170" spans="1:10" ht="15.75" customHeight="1" thickBot="1">
      <c r="B170" s="1759"/>
      <c r="C170" s="1760"/>
      <c r="D170" s="1760" t="s">
        <v>628</v>
      </c>
      <c r="E170" s="1761" t="s">
        <v>685</v>
      </c>
      <c r="F170" s="1821">
        <v>50</v>
      </c>
      <c r="G170" s="1821">
        <v>50</v>
      </c>
      <c r="H170" s="1821">
        <v>0</v>
      </c>
      <c r="I170" s="1822">
        <v>0</v>
      </c>
      <c r="J170" s="122"/>
    </row>
    <row r="171" spans="1:10" ht="15.75" customHeight="1" thickBot="1">
      <c r="B171" s="1759"/>
      <c r="C171" s="1760"/>
      <c r="D171" s="1760" t="s">
        <v>628</v>
      </c>
      <c r="E171" s="1761" t="s">
        <v>688</v>
      </c>
      <c r="F171" s="1821">
        <v>0</v>
      </c>
      <c r="G171" s="1821">
        <v>0</v>
      </c>
      <c r="H171" s="1821">
        <v>8100</v>
      </c>
      <c r="I171" s="1822">
        <v>8100</v>
      </c>
      <c r="J171" s="122"/>
    </row>
    <row r="172" spans="1:10" ht="15.75" customHeight="1" thickBot="1">
      <c r="B172" s="1759"/>
      <c r="C172" s="1760"/>
      <c r="D172" s="1760" t="s">
        <v>628</v>
      </c>
      <c r="E172" s="1761" t="s">
        <v>686</v>
      </c>
      <c r="F172" s="1821">
        <v>0</v>
      </c>
      <c r="G172" s="1821">
        <f>128.5-20.94918</f>
        <v>107.55082</v>
      </c>
      <c r="H172" s="1821">
        <v>0</v>
      </c>
      <c r="I172" s="1822">
        <v>0</v>
      </c>
      <c r="J172" s="122"/>
    </row>
    <row r="173" spans="1:10" ht="15.75" customHeight="1" thickBot="1">
      <c r="B173" s="101" t="s">
        <v>200</v>
      </c>
      <c r="C173" s="137" t="s">
        <v>248</v>
      </c>
      <c r="D173" s="1754" t="s">
        <v>628</v>
      </c>
      <c r="E173" s="489" t="s">
        <v>1507</v>
      </c>
      <c r="F173" s="490">
        <v>0</v>
      </c>
      <c r="G173" s="490">
        <v>0</v>
      </c>
      <c r="H173" s="490">
        <v>0</v>
      </c>
      <c r="I173" s="1353">
        <v>599</v>
      </c>
      <c r="J173" s="1736"/>
    </row>
    <row r="174" spans="1:10" ht="15.75" customHeight="1" thickBot="1">
      <c r="B174" s="1759"/>
      <c r="C174" s="1760"/>
      <c r="D174" s="1760" t="s">
        <v>628</v>
      </c>
      <c r="E174" s="1761" t="s">
        <v>687</v>
      </c>
      <c r="F174" s="1821">
        <v>0</v>
      </c>
      <c r="G174" s="1821">
        <f>150-72.876-13.3846</f>
        <v>63.739399999999996</v>
      </c>
      <c r="H174" s="1821">
        <v>0</v>
      </c>
      <c r="I174" s="1822">
        <v>0</v>
      </c>
      <c r="J174" s="122"/>
    </row>
    <row r="175" spans="1:10" ht="15.75" customHeight="1" thickBot="1">
      <c r="A175" s="203">
        <v>616</v>
      </c>
      <c r="B175" s="2046" t="s">
        <v>688</v>
      </c>
      <c r="C175" s="2047"/>
      <c r="D175" s="2047"/>
      <c r="E175" s="2048"/>
      <c r="F175" s="884">
        <f>SUM(F170:F174)</f>
        <v>50</v>
      </c>
      <c r="G175" s="884">
        <f t="shared" ref="G175:I175" si="1">SUM(G170:G174)</f>
        <v>221.29021999999998</v>
      </c>
      <c r="H175" s="884">
        <f t="shared" si="1"/>
        <v>8100</v>
      </c>
      <c r="I175" s="1398">
        <f t="shared" si="1"/>
        <v>8699</v>
      </c>
      <c r="J175" s="122"/>
    </row>
    <row r="176" spans="1:10" ht="15.75" customHeight="1" thickBot="1">
      <c r="B176" s="1759"/>
      <c r="C176" s="1760"/>
      <c r="D176" s="1760" t="s">
        <v>635</v>
      </c>
      <c r="E176" s="1761" t="s">
        <v>689</v>
      </c>
      <c r="F176" s="1821">
        <v>0</v>
      </c>
      <c r="G176" s="1821">
        <v>0</v>
      </c>
      <c r="H176" s="1821">
        <v>2500</v>
      </c>
      <c r="I176" s="1822">
        <v>2500</v>
      </c>
      <c r="J176" s="122"/>
    </row>
    <row r="177" spans="1:10" ht="15.75" customHeight="1" thickBot="1">
      <c r="A177" s="203">
        <v>621</v>
      </c>
      <c r="B177" s="2046" t="s">
        <v>689</v>
      </c>
      <c r="C177" s="2047"/>
      <c r="D177" s="2047"/>
      <c r="E177" s="2048"/>
      <c r="F177" s="884">
        <f>SUM(F176:F176)</f>
        <v>0</v>
      </c>
      <c r="G177" s="884">
        <f>SUM(G176:G176)</f>
        <v>0</v>
      </c>
      <c r="H177" s="884">
        <f>SUM(H176:H176)</f>
        <v>2500</v>
      </c>
      <c r="I177" s="1398">
        <f>SUM(I176:I176)</f>
        <v>2500</v>
      </c>
      <c r="J177" s="122"/>
    </row>
    <row r="178" spans="1:10" ht="15.75" customHeight="1" thickBot="1">
      <c r="A178" s="203">
        <v>606</v>
      </c>
      <c r="B178" s="1757"/>
      <c r="C178" s="1758"/>
      <c r="D178" s="1758" t="s">
        <v>1504</v>
      </c>
      <c r="E178" s="1738" t="s">
        <v>691</v>
      </c>
      <c r="F178" s="1821">
        <v>2700</v>
      </c>
      <c r="G178" s="1821">
        <v>2700</v>
      </c>
      <c r="H178" s="1821">
        <v>700</v>
      </c>
      <c r="I178" s="1822">
        <v>700</v>
      </c>
      <c r="J178" s="122"/>
    </row>
    <row r="179" spans="1:10" ht="15.75" customHeight="1" thickBot="1">
      <c r="B179" s="1759"/>
      <c r="C179" s="1760"/>
      <c r="D179" s="1760" t="s">
        <v>308</v>
      </c>
      <c r="E179" s="1761" t="s">
        <v>309</v>
      </c>
      <c r="F179" s="1821">
        <v>23000</v>
      </c>
      <c r="G179" s="1821">
        <f>23000-13370</f>
        <v>9630</v>
      </c>
      <c r="H179" s="1821">
        <v>2000</v>
      </c>
      <c r="I179" s="1822">
        <v>2000</v>
      </c>
      <c r="J179" s="122"/>
    </row>
    <row r="180" spans="1:10" ht="15.75" customHeight="1" thickBot="1">
      <c r="B180" s="1762" t="s">
        <v>277</v>
      </c>
      <c r="C180" s="257" t="s">
        <v>307</v>
      </c>
      <c r="D180" s="257" t="s">
        <v>308</v>
      </c>
      <c r="E180" s="1763" t="s">
        <v>1531</v>
      </c>
      <c r="F180" s="780">
        <v>0</v>
      </c>
      <c r="G180" s="780">
        <v>0</v>
      </c>
      <c r="H180" s="780">
        <v>0</v>
      </c>
      <c r="I180" s="1399">
        <v>9394</v>
      </c>
      <c r="J180" s="1736"/>
    </row>
    <row r="181" spans="1:10" ht="15.75" customHeight="1" thickBot="1">
      <c r="A181" s="203">
        <v>618</v>
      </c>
      <c r="B181" s="2046" t="s">
        <v>692</v>
      </c>
      <c r="C181" s="2047"/>
      <c r="D181" s="2047"/>
      <c r="E181" s="2048"/>
      <c r="F181" s="884">
        <f>SUM(F179:F180)</f>
        <v>23000</v>
      </c>
      <c r="G181" s="884">
        <f t="shared" ref="G181:I181" si="2">SUM(G179:G180)</f>
        <v>9630</v>
      </c>
      <c r="H181" s="884">
        <f t="shared" si="2"/>
        <v>2000</v>
      </c>
      <c r="I181" s="1398">
        <f t="shared" si="2"/>
        <v>11394</v>
      </c>
      <c r="J181" s="122"/>
    </row>
    <row r="182" spans="1:10" ht="15.75" customHeight="1" thickBot="1">
      <c r="B182" s="1759"/>
      <c r="C182" s="1760"/>
      <c r="D182" s="1760" t="s">
        <v>1505</v>
      </c>
      <c r="E182" s="1761" t="s">
        <v>695</v>
      </c>
      <c r="F182" s="1821">
        <v>0</v>
      </c>
      <c r="G182" s="1821">
        <v>2341</v>
      </c>
      <c r="H182" s="1821">
        <v>400</v>
      </c>
      <c r="I182" s="1822">
        <v>400</v>
      </c>
      <c r="J182" s="122"/>
    </row>
    <row r="183" spans="1:10" s="16" customFormat="1" ht="15.75" customHeight="1" thickBot="1">
      <c r="A183" s="209">
        <v>6122</v>
      </c>
      <c r="B183" s="2046" t="s">
        <v>695</v>
      </c>
      <c r="C183" s="2047"/>
      <c r="D183" s="2047"/>
      <c r="E183" s="2048"/>
      <c r="F183" s="884">
        <f>SUM(F182:F182)</f>
        <v>0</v>
      </c>
      <c r="G183" s="884">
        <f>SUM(G182:G182)</f>
        <v>2341</v>
      </c>
      <c r="H183" s="884">
        <f>SUM(H182:H182)</f>
        <v>400</v>
      </c>
      <c r="I183" s="1398">
        <f>SUM(I182:I182)</f>
        <v>400</v>
      </c>
      <c r="J183" s="122"/>
    </row>
    <row r="184" spans="1:10" s="16" customFormat="1" ht="15.75" customHeight="1" thickBot="1">
      <c r="A184" s="209"/>
      <c r="B184" s="1757"/>
      <c r="C184" s="1758"/>
      <c r="D184" s="1758" t="s">
        <v>1533</v>
      </c>
      <c r="E184" s="1738" t="s">
        <v>1153</v>
      </c>
      <c r="F184" s="1821">
        <v>0</v>
      </c>
      <c r="G184" s="1821">
        <v>0</v>
      </c>
      <c r="H184" s="1821">
        <v>8500</v>
      </c>
      <c r="I184" s="1822">
        <v>8500</v>
      </c>
      <c r="J184" s="122"/>
    </row>
    <row r="185" spans="1:10" s="16" customFormat="1" ht="15.75" customHeight="1" thickBot="1">
      <c r="A185" s="209"/>
      <c r="B185" s="1768"/>
      <c r="C185" s="1769"/>
      <c r="D185" s="1769" t="s">
        <v>706</v>
      </c>
      <c r="E185" s="1770" t="s">
        <v>1154</v>
      </c>
      <c r="F185" s="1823">
        <v>0</v>
      </c>
      <c r="G185" s="1823">
        <v>0</v>
      </c>
      <c r="H185" s="1823">
        <v>850</v>
      </c>
      <c r="I185" s="1824">
        <v>850</v>
      </c>
      <c r="J185" s="122"/>
    </row>
    <row r="186" spans="1:10" s="888" customFormat="1" ht="6" customHeight="1" thickTop="1" thickBot="1">
      <c r="A186" s="885"/>
      <c r="B186" s="886"/>
      <c r="C186" s="886"/>
      <c r="D186" s="886"/>
      <c r="E186" s="503"/>
      <c r="F186" s="504"/>
      <c r="G186" s="504"/>
      <c r="H186" s="504"/>
      <c r="I186" s="504"/>
      <c r="J186" s="887"/>
    </row>
    <row r="187" spans="1:10" s="16" customFormat="1" ht="15.75" customHeight="1" thickTop="1" thickBot="1">
      <c r="A187" s="209"/>
      <c r="B187" s="889" t="s">
        <v>277</v>
      </c>
      <c r="C187" s="276" t="s">
        <v>248</v>
      </c>
      <c r="D187" s="890" t="s">
        <v>650</v>
      </c>
      <c r="E187" s="891" t="s">
        <v>693</v>
      </c>
      <c r="F187" s="892">
        <v>0</v>
      </c>
      <c r="G187" s="892">
        <f>8902.657-79.32813-451.36623-833.74851</f>
        <v>7538.2141299999994</v>
      </c>
      <c r="H187" s="892">
        <v>0</v>
      </c>
      <c r="I187" s="1352">
        <v>0</v>
      </c>
      <c r="J187" s="828"/>
    </row>
    <row r="188" spans="1:10" s="16" customFormat="1" ht="15.75" customHeight="1" thickBot="1">
      <c r="A188" s="209"/>
      <c r="B188" s="101" t="s">
        <v>277</v>
      </c>
      <c r="C188" s="137" t="s">
        <v>307</v>
      </c>
      <c r="D188" s="137" t="s">
        <v>650</v>
      </c>
      <c r="E188" s="489" t="s">
        <v>694</v>
      </c>
      <c r="F188" s="490">
        <v>0</v>
      </c>
      <c r="G188" s="490">
        <v>1266</v>
      </c>
      <c r="H188" s="490">
        <v>0</v>
      </c>
      <c r="I188" s="1353">
        <v>0</v>
      </c>
    </row>
    <row r="189" spans="1:10" s="16" customFormat="1" ht="15.75" customHeight="1" thickBot="1">
      <c r="A189" s="209"/>
      <c r="B189" s="2046" t="s">
        <v>651</v>
      </c>
      <c r="C189" s="2047"/>
      <c r="D189" s="2047"/>
      <c r="E189" s="2048"/>
      <c r="F189" s="472">
        <f>SUM(F187:F188)</f>
        <v>0</v>
      </c>
      <c r="G189" s="472">
        <f>SUM(G187:G188)</f>
        <v>8804.2141300000003</v>
      </c>
      <c r="H189" s="472">
        <f>SUM(H187:H188)</f>
        <v>0</v>
      </c>
      <c r="I189" s="1354">
        <f>SUM(I187:I188)</f>
        <v>0</v>
      </c>
    </row>
    <row r="190" spans="1:10" s="16" customFormat="1" ht="15.75" customHeight="1" thickBot="1">
      <c r="A190" s="209"/>
      <c r="B190" s="829" t="s">
        <v>623</v>
      </c>
      <c r="C190" s="830" t="s">
        <v>160</v>
      </c>
      <c r="D190" s="830" t="s">
        <v>624</v>
      </c>
      <c r="E190" s="488" t="s">
        <v>690</v>
      </c>
      <c r="F190" s="472">
        <v>0</v>
      </c>
      <c r="G190" s="472">
        <v>450</v>
      </c>
      <c r="H190" s="472">
        <v>0</v>
      </c>
      <c r="I190" s="1354">
        <v>260</v>
      </c>
      <c r="J190" s="1737"/>
    </row>
    <row r="191" spans="1:10" s="16" customFormat="1" ht="15.75" customHeight="1" thickBot="1">
      <c r="A191" s="209"/>
      <c r="B191" s="245" t="s">
        <v>238</v>
      </c>
      <c r="C191" s="246" t="s">
        <v>248</v>
      </c>
      <c r="D191" s="246" t="s">
        <v>668</v>
      </c>
      <c r="E191" s="487" t="s">
        <v>669</v>
      </c>
      <c r="F191" s="472">
        <v>0</v>
      </c>
      <c r="G191" s="472">
        <v>1058.76</v>
      </c>
      <c r="H191" s="472">
        <v>0</v>
      </c>
      <c r="I191" s="1354">
        <v>734.76</v>
      </c>
      <c r="J191" s="1737"/>
    </row>
    <row r="192" spans="1:10" s="16" customFormat="1" ht="15.75" customHeight="1" thickBot="1">
      <c r="A192" s="209"/>
      <c r="B192" s="829" t="s">
        <v>278</v>
      </c>
      <c r="C192" s="830" t="s">
        <v>248</v>
      </c>
      <c r="D192" s="246" t="s">
        <v>696</v>
      </c>
      <c r="E192" s="488" t="s">
        <v>697</v>
      </c>
      <c r="F192" s="472">
        <v>4000</v>
      </c>
      <c r="G192" s="472">
        <v>4000</v>
      </c>
      <c r="H192" s="472">
        <v>0</v>
      </c>
      <c r="I192" s="1354">
        <v>0</v>
      </c>
    </row>
    <row r="193" spans="1:12" s="16" customFormat="1" ht="28.5" customHeight="1" thickBot="1">
      <c r="A193" s="209"/>
      <c r="B193" s="829" t="s">
        <v>277</v>
      </c>
      <c r="C193" s="830" t="s">
        <v>248</v>
      </c>
      <c r="D193" s="246" t="s">
        <v>698</v>
      </c>
      <c r="E193" s="491" t="s">
        <v>699</v>
      </c>
      <c r="F193" s="472">
        <v>3500</v>
      </c>
      <c r="G193" s="493">
        <v>3500</v>
      </c>
      <c r="H193" s="493">
        <v>0</v>
      </c>
      <c r="I193" s="1354">
        <v>3590</v>
      </c>
      <c r="J193" s="1737"/>
    </row>
    <row r="194" spans="1:12" s="16" customFormat="1" ht="15.75" customHeight="1" thickBot="1">
      <c r="A194" s="209">
        <v>6126</v>
      </c>
      <c r="B194" s="245" t="s">
        <v>278</v>
      </c>
      <c r="C194" s="246" t="s">
        <v>248</v>
      </c>
      <c r="D194" s="246" t="s">
        <v>304</v>
      </c>
      <c r="E194" s="492" t="s">
        <v>305</v>
      </c>
      <c r="F194" s="493">
        <v>7000</v>
      </c>
      <c r="G194" s="493">
        <f>7000-7000</f>
        <v>0</v>
      </c>
      <c r="H194" s="493">
        <v>0</v>
      </c>
      <c r="I194" s="1354">
        <v>0</v>
      </c>
    </row>
    <row r="195" spans="1:12" s="16" customFormat="1" ht="15.75" customHeight="1" thickBot="1">
      <c r="A195" s="209"/>
      <c r="B195" s="245" t="s">
        <v>278</v>
      </c>
      <c r="C195" s="246" t="s">
        <v>248</v>
      </c>
      <c r="D195" s="246" t="s">
        <v>304</v>
      </c>
      <c r="E195" s="492" t="s">
        <v>306</v>
      </c>
      <c r="F195" s="493">
        <v>5000</v>
      </c>
      <c r="G195" s="493">
        <f>5000-5000</f>
        <v>0</v>
      </c>
      <c r="H195" s="493">
        <v>0</v>
      </c>
      <c r="I195" s="1354">
        <v>0</v>
      </c>
    </row>
    <row r="196" spans="1:12" s="16" customFormat="1" ht="15.75" customHeight="1" thickBot="1">
      <c r="A196" s="209"/>
      <c r="B196" s="245" t="s">
        <v>238</v>
      </c>
      <c r="C196" s="246" t="s">
        <v>248</v>
      </c>
      <c r="D196" s="246" t="s">
        <v>1528</v>
      </c>
      <c r="E196" s="492" t="s">
        <v>1529</v>
      </c>
      <c r="F196" s="1756">
        <v>0</v>
      </c>
      <c r="G196" s="1756">
        <v>0</v>
      </c>
      <c r="H196" s="1756">
        <v>0</v>
      </c>
      <c r="I196" s="1354">
        <v>481</v>
      </c>
      <c r="J196" s="1737"/>
    </row>
    <row r="197" spans="1:12" s="16" customFormat="1" ht="15.75" customHeight="1" thickBot="1">
      <c r="A197" s="209"/>
      <c r="B197" s="494" t="s">
        <v>238</v>
      </c>
      <c r="C197" s="495" t="s">
        <v>1497</v>
      </c>
      <c r="D197" s="495" t="s">
        <v>700</v>
      </c>
      <c r="E197" s="496" t="s">
        <v>701</v>
      </c>
      <c r="F197" s="497">
        <v>4000</v>
      </c>
      <c r="G197" s="781">
        <f>4000-140</f>
        <v>3860</v>
      </c>
      <c r="H197" s="781">
        <v>0</v>
      </c>
      <c r="I197" s="1355">
        <v>438.88200000000001</v>
      </c>
      <c r="J197" s="1737"/>
    </row>
    <row r="198" spans="1:12" s="16" customFormat="1" ht="15.75" customHeight="1" thickBot="1">
      <c r="A198" s="209"/>
      <c r="B198" s="494" t="s">
        <v>238</v>
      </c>
      <c r="C198" s="495" t="s">
        <v>160</v>
      </c>
      <c r="D198" s="495" t="s">
        <v>700</v>
      </c>
      <c r="E198" s="496" t="s">
        <v>702</v>
      </c>
      <c r="F198" s="497">
        <v>0</v>
      </c>
      <c r="G198" s="781">
        <v>140</v>
      </c>
      <c r="H198" s="781">
        <v>0</v>
      </c>
      <c r="I198" s="1355">
        <v>0</v>
      </c>
    </row>
    <row r="199" spans="1:12" s="16" customFormat="1" ht="15.75" customHeight="1" thickBot="1">
      <c r="A199" s="209"/>
      <c r="B199" s="2046" t="s">
        <v>701</v>
      </c>
      <c r="C199" s="2047"/>
      <c r="D199" s="2047"/>
      <c r="E199" s="2048"/>
      <c r="F199" s="498">
        <f>SUM(F197:F198)</f>
        <v>4000</v>
      </c>
      <c r="G199" s="493">
        <f>SUM(G197:G198)</f>
        <v>4000</v>
      </c>
      <c r="H199" s="493">
        <f>SUM(H197:H198)</f>
        <v>0</v>
      </c>
      <c r="I199" s="1354">
        <f>SUM(I197:I198)</f>
        <v>438.88200000000001</v>
      </c>
    </row>
    <row r="200" spans="1:12" s="16" customFormat="1" ht="15.75" customHeight="1" thickBot="1">
      <c r="A200" s="209"/>
      <c r="B200" s="829" t="s">
        <v>238</v>
      </c>
      <c r="C200" s="830" t="s">
        <v>307</v>
      </c>
      <c r="D200" s="830" t="s">
        <v>703</v>
      </c>
      <c r="E200" s="499" t="s">
        <v>704</v>
      </c>
      <c r="F200" s="252">
        <v>11000</v>
      </c>
      <c r="G200" s="493">
        <v>11000</v>
      </c>
      <c r="H200" s="493">
        <v>0</v>
      </c>
      <c r="I200" s="1354">
        <v>0</v>
      </c>
    </row>
    <row r="201" spans="1:12" s="16" customFormat="1" ht="22.5" customHeight="1" thickBot="1">
      <c r="A201" s="209">
        <v>6125</v>
      </c>
      <c r="B201" s="117" t="s">
        <v>705</v>
      </c>
      <c r="C201" s="118" t="s">
        <v>248</v>
      </c>
      <c r="D201" s="118" t="s">
        <v>706</v>
      </c>
      <c r="E201" s="500" t="s">
        <v>707</v>
      </c>
      <c r="F201" s="501">
        <v>0</v>
      </c>
      <c r="G201" s="782">
        <v>180</v>
      </c>
      <c r="H201" s="782">
        <v>0</v>
      </c>
      <c r="I201" s="1356">
        <v>0</v>
      </c>
    </row>
    <row r="202" spans="1:12" s="16" customFormat="1" ht="6" customHeight="1" thickTop="1" thickBot="1">
      <c r="A202" s="209"/>
      <c r="B202" s="502"/>
      <c r="C202" s="502"/>
      <c r="D202" s="502"/>
      <c r="E202" s="503"/>
      <c r="F202" s="504"/>
      <c r="G202" s="504"/>
      <c r="H202" s="504"/>
      <c r="I202" s="504"/>
    </row>
    <row r="203" spans="1:12" s="16" customFormat="1" ht="15.75" customHeight="1" thickTop="1" thickBot="1">
      <c r="A203" s="209"/>
      <c r="B203" s="292"/>
      <c r="C203" s="292"/>
      <c r="D203" s="292"/>
      <c r="E203" s="854" t="s">
        <v>32</v>
      </c>
      <c r="F203" s="298">
        <f>SUM(F142:F143,F145,F148,F152,F154,F159:F161,F166,F169,F175,F177:F178,F181,F183:F185,F189:F196,F199:F201)</f>
        <v>102100</v>
      </c>
      <c r="G203" s="298">
        <f>SUM(G142:G143,G145,G148,G152,G154,G159:G161,G166,G169,G175,G177:G178,G181,G183:G185,G189:G196,G199:G201)</f>
        <v>95083.347699999998</v>
      </c>
      <c r="H203" s="298">
        <f>SUM(H142:H143,H145,H148,H152,H154,H159:H161,H166,H169,H175,H177:H178,H181,H183:H185,H189:H196,H199:H201)</f>
        <v>47050</v>
      </c>
      <c r="I203" s="1360">
        <f>SUM(I142:I143,I145,I148,I152,I154,I159:I161,I166,I169,I175,I177:I178,I181,I183:I185,I189:I196,I199:I201)</f>
        <v>70733.641999999993</v>
      </c>
      <c r="J203" s="1771"/>
      <c r="K203" s="1737"/>
    </row>
    <row r="204" spans="1:12" ht="10.5" customHeight="1" thickTop="1" thickBot="1">
      <c r="F204" s="505"/>
      <c r="G204" s="505"/>
      <c r="H204" s="505"/>
      <c r="I204" s="505"/>
    </row>
    <row r="205" spans="1:12" s="155" customFormat="1" ht="15.75" customHeight="1" thickTop="1" thickBot="1">
      <c r="A205" s="203"/>
      <c r="B205" s="331"/>
      <c r="C205" s="332"/>
      <c r="D205" s="332"/>
      <c r="E205" s="8" t="s">
        <v>708</v>
      </c>
      <c r="F205" s="506">
        <f>SUM(F134,F203)</f>
        <v>165852</v>
      </c>
      <c r="G205" s="506">
        <f>SUM(G134,G203)</f>
        <v>174148.38182000001</v>
      </c>
      <c r="H205" s="506">
        <f>SUM(H134,H203)</f>
        <v>118984</v>
      </c>
      <c r="I205" s="1361">
        <f>SUM(I134,I203)</f>
        <v>161444.64199999999</v>
      </c>
      <c r="J205" s="268"/>
      <c r="L205" s="1739"/>
    </row>
    <row r="206" spans="1:12" ht="15.75" customHeight="1" thickTop="1"/>
    <row r="207" spans="1:12" ht="15.75" customHeight="1">
      <c r="B207" s="273"/>
      <c r="C207" s="273"/>
      <c r="D207" s="273"/>
      <c r="E207" s="3"/>
      <c r="F207" s="2"/>
      <c r="G207" s="2"/>
      <c r="H207" s="2"/>
      <c r="I207" s="2"/>
    </row>
    <row r="208" spans="1:12" s="439" customFormat="1" ht="15.75" customHeight="1">
      <c r="A208" s="203"/>
      <c r="B208" s="273"/>
      <c r="C208" s="273"/>
      <c r="D208" s="273"/>
      <c r="E208" s="3"/>
      <c r="F208" s="2"/>
      <c r="G208" s="2"/>
      <c r="H208" s="2"/>
      <c r="I208" s="16"/>
    </row>
    <row r="209" spans="1:9" s="439" customFormat="1" ht="15.75" customHeight="1">
      <c r="A209" s="203"/>
      <c r="B209" s="273"/>
      <c r="C209" s="273"/>
      <c r="D209" s="273"/>
      <c r="E209" s="3"/>
      <c r="F209" s="2"/>
      <c r="G209" s="2"/>
      <c r="H209" s="2"/>
      <c r="I209" s="2"/>
    </row>
    <row r="210" spans="1:9" s="439" customFormat="1" ht="15.75" customHeight="1">
      <c r="A210" s="203"/>
      <c r="B210" s="273"/>
      <c r="C210" s="273"/>
      <c r="D210" s="273"/>
      <c r="E210" s="3"/>
      <c r="F210" s="2"/>
      <c r="G210" s="2"/>
      <c r="H210" s="2"/>
      <c r="I210" s="2"/>
    </row>
    <row r="211" spans="1:9" s="439" customFormat="1" ht="15.75" customHeight="1">
      <c r="A211" s="203"/>
      <c r="B211" s="273"/>
      <c r="C211" s="273"/>
      <c r="D211" s="273"/>
      <c r="E211" s="3"/>
      <c r="F211" s="2"/>
      <c r="G211" s="2"/>
      <c r="H211" s="2"/>
      <c r="I211" s="2"/>
    </row>
    <row r="212" spans="1:9" s="439" customFormat="1" ht="15.75" customHeight="1">
      <c r="A212" s="203"/>
      <c r="B212" s="273"/>
      <c r="C212" s="273"/>
      <c r="D212" s="273"/>
      <c r="E212" s="3"/>
      <c r="F212" s="2"/>
      <c r="G212" s="2"/>
      <c r="H212" s="2"/>
      <c r="I212" s="2"/>
    </row>
    <row r="213" spans="1:9" s="439" customFormat="1" ht="15.75" customHeight="1">
      <c r="A213" s="203"/>
      <c r="B213" s="273"/>
      <c r="C213" s="273"/>
      <c r="D213" s="273"/>
      <c r="E213" s="3"/>
      <c r="F213" s="2"/>
      <c r="G213" s="2"/>
      <c r="H213" s="2"/>
      <c r="I213" s="2"/>
    </row>
    <row r="214" spans="1:9" s="439" customFormat="1" ht="15.75" customHeight="1">
      <c r="A214" s="203"/>
      <c r="B214" s="273"/>
      <c r="C214" s="273"/>
      <c r="D214" s="273"/>
      <c r="E214" s="3"/>
      <c r="F214" s="2"/>
      <c r="G214" s="2"/>
      <c r="H214" s="2"/>
      <c r="I214" s="2"/>
    </row>
    <row r="215" spans="1:9" s="439" customFormat="1" ht="15.75" customHeight="1">
      <c r="A215" s="203"/>
      <c r="B215" s="273"/>
      <c r="C215" s="273"/>
      <c r="D215" s="273"/>
      <c r="E215" s="3"/>
      <c r="F215" s="2"/>
      <c r="G215" s="2"/>
      <c r="H215" s="2"/>
      <c r="I215" s="2"/>
    </row>
    <row r="216" spans="1:9" s="439" customFormat="1" ht="15.75" customHeight="1">
      <c r="A216" s="203"/>
      <c r="B216" s="273"/>
      <c r="C216" s="273"/>
      <c r="D216" s="273"/>
      <c r="E216" s="3"/>
      <c r="F216" s="2"/>
      <c r="G216" s="2"/>
      <c r="H216" s="2"/>
      <c r="I216" s="2"/>
    </row>
    <row r="217" spans="1:9" s="439" customFormat="1" ht="15.75" customHeight="1">
      <c r="A217" s="203"/>
      <c r="B217" s="273"/>
      <c r="C217" s="273"/>
      <c r="D217" s="273"/>
      <c r="E217" s="3"/>
      <c r="F217" s="2"/>
      <c r="G217" s="2"/>
      <c r="H217" s="2"/>
      <c r="I217" s="2"/>
    </row>
    <row r="218" spans="1:9" s="439" customFormat="1" ht="15.75" customHeight="1">
      <c r="A218" s="203"/>
      <c r="B218" s="273"/>
      <c r="C218" s="273"/>
      <c r="D218" s="273"/>
      <c r="E218" s="3"/>
      <c r="F218" s="2"/>
      <c r="G218" s="2"/>
      <c r="H218" s="2"/>
      <c r="I218" s="2"/>
    </row>
    <row r="219" spans="1:9" s="439" customFormat="1" ht="15.75" customHeight="1">
      <c r="A219" s="203"/>
      <c r="B219" s="273"/>
      <c r="C219" s="273"/>
      <c r="D219" s="273"/>
      <c r="E219" s="3"/>
      <c r="F219" s="2"/>
      <c r="G219" s="2"/>
      <c r="H219" s="2"/>
      <c r="I219" s="2"/>
    </row>
    <row r="220" spans="1:9" s="439" customFormat="1" ht="15.75" customHeight="1">
      <c r="A220" s="203"/>
      <c r="B220" s="273"/>
      <c r="C220" s="273"/>
      <c r="D220" s="273"/>
      <c r="E220" s="3"/>
      <c r="F220" s="2"/>
      <c r="G220" s="2"/>
      <c r="H220" s="2"/>
      <c r="I220" s="2"/>
    </row>
    <row r="221" spans="1:9" s="439" customFormat="1" ht="15.75" customHeight="1">
      <c r="A221" s="203"/>
      <c r="B221" s="273"/>
      <c r="C221" s="273"/>
      <c r="D221" s="273"/>
      <c r="E221" s="3"/>
      <c r="F221" s="2"/>
      <c r="G221" s="2"/>
      <c r="H221" s="2"/>
      <c r="I221" s="2"/>
    </row>
    <row r="222" spans="1:9" s="439" customFormat="1" ht="15.75" customHeight="1">
      <c r="A222" s="203"/>
      <c r="B222" s="273"/>
      <c r="C222" s="273"/>
      <c r="D222" s="273"/>
      <c r="E222" s="3"/>
      <c r="F222" s="2"/>
      <c r="G222" s="2"/>
      <c r="H222" s="2"/>
      <c r="I222" s="2"/>
    </row>
    <row r="223" spans="1:9" s="439" customFormat="1" ht="15.75" customHeight="1">
      <c r="A223" s="203"/>
      <c r="B223" s="273"/>
      <c r="C223" s="273"/>
      <c r="D223" s="273"/>
      <c r="E223" s="3"/>
      <c r="F223" s="2"/>
      <c r="G223" s="2"/>
      <c r="H223" s="2"/>
      <c r="I223" s="2"/>
    </row>
    <row r="224" spans="1:9" s="439" customFormat="1" ht="15.75" customHeight="1">
      <c r="A224" s="203"/>
      <c r="B224" s="273"/>
      <c r="C224" s="273"/>
      <c r="D224" s="273"/>
      <c r="E224" s="3"/>
      <c r="F224" s="2"/>
      <c r="G224" s="2"/>
      <c r="H224" s="2"/>
      <c r="I224" s="2"/>
    </row>
    <row r="225" spans="1:9" s="439" customFormat="1" ht="15.75" customHeight="1">
      <c r="A225" s="203"/>
      <c r="B225" s="273"/>
      <c r="C225" s="273"/>
      <c r="D225" s="273"/>
      <c r="E225" s="3"/>
      <c r="F225" s="2"/>
      <c r="G225" s="2"/>
      <c r="H225" s="2"/>
      <c r="I225" s="2"/>
    </row>
    <row r="226" spans="1:9" s="439" customFormat="1" ht="15.75" customHeight="1">
      <c r="A226" s="203"/>
      <c r="B226" s="273"/>
      <c r="C226" s="273"/>
      <c r="D226" s="273"/>
      <c r="E226" s="3"/>
      <c r="F226" s="2"/>
      <c r="G226" s="2"/>
      <c r="H226" s="2"/>
      <c r="I226" s="2"/>
    </row>
    <row r="227" spans="1:9" s="439" customFormat="1" ht="15.75" customHeight="1">
      <c r="A227" s="203"/>
      <c r="B227" s="273"/>
      <c r="C227" s="273"/>
      <c r="D227" s="273"/>
      <c r="E227" s="3"/>
      <c r="F227" s="2"/>
      <c r="G227" s="2"/>
      <c r="H227" s="2"/>
      <c r="I227" s="2"/>
    </row>
    <row r="228" spans="1:9" s="439" customFormat="1" ht="15.75" customHeight="1">
      <c r="A228" s="203"/>
      <c r="B228" s="273"/>
      <c r="C228" s="273"/>
      <c r="D228" s="273"/>
      <c r="E228" s="3"/>
      <c r="F228" s="2"/>
      <c r="G228" s="2"/>
      <c r="H228" s="2"/>
      <c r="I228" s="2"/>
    </row>
    <row r="229" spans="1:9" s="439" customFormat="1" ht="15.75" customHeight="1">
      <c r="A229" s="203"/>
      <c r="B229" s="273"/>
      <c r="C229" s="273"/>
      <c r="D229" s="273"/>
      <c r="E229" s="3"/>
      <c r="F229" s="2"/>
      <c r="G229" s="2"/>
      <c r="H229" s="2"/>
      <c r="I229" s="2"/>
    </row>
    <row r="230" spans="1:9" s="439" customFormat="1" ht="15.75" customHeight="1">
      <c r="A230" s="203"/>
      <c r="B230" s="273"/>
      <c r="C230" s="273"/>
      <c r="D230" s="273"/>
      <c r="E230" s="3"/>
      <c r="F230" s="2"/>
      <c r="G230" s="2"/>
      <c r="H230" s="2"/>
      <c r="I230" s="2"/>
    </row>
    <row r="231" spans="1:9" s="439" customFormat="1" ht="15.75" customHeight="1">
      <c r="A231" s="203"/>
      <c r="B231" s="273"/>
      <c r="C231" s="273"/>
      <c r="D231" s="273"/>
      <c r="E231" s="3"/>
      <c r="F231" s="2"/>
      <c r="G231" s="2"/>
      <c r="H231" s="2"/>
      <c r="I231" s="2"/>
    </row>
    <row r="232" spans="1:9" s="439" customFormat="1" ht="15.75" customHeight="1">
      <c r="A232" s="203"/>
      <c r="B232" s="273"/>
      <c r="C232" s="273"/>
      <c r="D232" s="273"/>
      <c r="E232" s="3"/>
      <c r="F232" s="2"/>
      <c r="G232" s="2"/>
      <c r="H232" s="2"/>
      <c r="I232" s="2"/>
    </row>
    <row r="233" spans="1:9" s="439" customFormat="1" ht="15.75" customHeight="1">
      <c r="A233" s="203"/>
      <c r="B233" s="273"/>
      <c r="C233" s="273"/>
      <c r="D233" s="273"/>
      <c r="E233" s="3"/>
      <c r="F233" s="2"/>
      <c r="G233" s="2"/>
      <c r="H233" s="2"/>
      <c r="I233" s="2"/>
    </row>
    <row r="234" spans="1:9" s="439" customFormat="1" ht="15.75" customHeight="1">
      <c r="A234" s="203"/>
      <c r="B234" s="273"/>
      <c r="C234" s="273"/>
      <c r="D234" s="273"/>
      <c r="E234" s="3"/>
      <c r="F234" s="2"/>
      <c r="G234" s="2"/>
      <c r="H234" s="2"/>
      <c r="I234" s="2"/>
    </row>
    <row r="235" spans="1:9" s="439" customFormat="1" ht="15.75" customHeight="1">
      <c r="A235" s="203"/>
      <c r="B235" s="273"/>
      <c r="C235" s="273"/>
      <c r="D235" s="273"/>
      <c r="E235" s="3"/>
      <c r="F235" s="2"/>
      <c r="G235" s="2"/>
      <c r="H235" s="2"/>
      <c r="I235" s="2"/>
    </row>
    <row r="236" spans="1:9" s="439" customFormat="1" ht="15.75" customHeight="1">
      <c r="A236" s="203"/>
      <c r="B236" s="273"/>
      <c r="C236" s="273"/>
      <c r="D236" s="273"/>
      <c r="E236" s="3"/>
      <c r="F236" s="2"/>
      <c r="G236" s="2"/>
      <c r="H236" s="2"/>
      <c r="I236" s="2"/>
    </row>
    <row r="237" spans="1:9" s="439" customFormat="1" ht="15.75" customHeight="1">
      <c r="A237" s="203"/>
      <c r="B237" s="273"/>
      <c r="C237" s="273"/>
      <c r="D237" s="273"/>
      <c r="E237" s="3"/>
      <c r="F237" s="2"/>
      <c r="G237" s="2"/>
      <c r="H237" s="2"/>
      <c r="I237" s="2"/>
    </row>
    <row r="238" spans="1:9" s="439" customFormat="1" ht="15.75" customHeight="1">
      <c r="A238" s="203"/>
      <c r="B238" s="273"/>
      <c r="C238" s="273"/>
      <c r="D238" s="273"/>
      <c r="E238" s="3"/>
      <c r="F238" s="2"/>
      <c r="G238" s="2"/>
      <c r="H238" s="2"/>
      <c r="I238" s="2"/>
    </row>
    <row r="239" spans="1:9" s="439" customFormat="1" ht="15.75" customHeight="1">
      <c r="A239" s="203"/>
      <c r="B239" s="273"/>
      <c r="C239" s="273"/>
      <c r="D239" s="273"/>
      <c r="E239" s="3"/>
      <c r="F239" s="2"/>
      <c r="G239" s="2"/>
      <c r="H239" s="2"/>
      <c r="I239" s="2"/>
    </row>
    <row r="240" spans="1:9" s="439" customFormat="1" ht="15.75" customHeight="1">
      <c r="A240" s="203"/>
      <c r="B240" s="273"/>
      <c r="C240" s="273"/>
      <c r="D240" s="273"/>
      <c r="E240" s="3"/>
      <c r="F240" s="2"/>
      <c r="G240" s="2"/>
      <c r="H240" s="2"/>
      <c r="I240" s="2"/>
    </row>
    <row r="241" spans="1:9" s="439" customFormat="1" ht="15.75" customHeight="1">
      <c r="A241" s="203"/>
      <c r="B241" s="273"/>
      <c r="C241" s="273"/>
      <c r="D241" s="273"/>
      <c r="E241" s="3"/>
      <c r="F241" s="2"/>
      <c r="G241" s="2"/>
      <c r="H241" s="2"/>
      <c r="I241" s="2"/>
    </row>
    <row r="242" spans="1:9" s="439" customFormat="1" ht="15.75" customHeight="1">
      <c r="A242" s="203"/>
      <c r="B242" s="273"/>
      <c r="C242" s="273"/>
      <c r="D242" s="273"/>
      <c r="E242" s="3"/>
      <c r="F242" s="2"/>
      <c r="G242" s="2"/>
      <c r="H242" s="2"/>
      <c r="I242" s="2"/>
    </row>
    <row r="243" spans="1:9" s="439" customFormat="1" ht="15.75" customHeight="1">
      <c r="A243" s="203"/>
      <c r="B243" s="273"/>
      <c r="C243" s="273"/>
      <c r="D243" s="273"/>
      <c r="E243" s="3"/>
      <c r="F243" s="2"/>
      <c r="G243" s="2"/>
      <c r="H243" s="2"/>
      <c r="I243" s="2"/>
    </row>
    <row r="244" spans="1:9" s="439" customFormat="1" ht="15.75" customHeight="1">
      <c r="A244" s="203"/>
      <c r="B244" s="273"/>
      <c r="C244" s="273"/>
      <c r="D244" s="273"/>
      <c r="E244" s="3"/>
      <c r="F244" s="2"/>
      <c r="G244" s="2"/>
      <c r="H244" s="2"/>
      <c r="I244" s="2"/>
    </row>
    <row r="245" spans="1:9" s="439" customFormat="1" ht="15.75" customHeight="1">
      <c r="A245" s="203"/>
      <c r="B245" s="273"/>
      <c r="C245" s="273"/>
      <c r="D245" s="273"/>
      <c r="E245" s="3"/>
      <c r="F245" s="2"/>
      <c r="G245" s="2"/>
      <c r="H245" s="2"/>
      <c r="I245" s="2"/>
    </row>
    <row r="246" spans="1:9" s="439" customFormat="1" ht="15.75" customHeight="1">
      <c r="A246" s="203"/>
      <c r="B246" s="273"/>
      <c r="C246" s="273"/>
      <c r="D246" s="273"/>
      <c r="E246" s="3"/>
      <c r="F246" s="2"/>
      <c r="G246" s="2"/>
      <c r="H246" s="2"/>
      <c r="I246" s="2"/>
    </row>
    <row r="247" spans="1:9" s="439" customFormat="1" ht="15.75" customHeight="1">
      <c r="A247" s="203"/>
      <c r="B247" s="273"/>
      <c r="C247" s="273"/>
      <c r="D247" s="273"/>
      <c r="E247" s="3"/>
      <c r="F247" s="2"/>
      <c r="G247" s="2"/>
      <c r="H247" s="2"/>
      <c r="I247" s="2"/>
    </row>
    <row r="248" spans="1:9" s="439" customFormat="1" ht="15.75" customHeight="1">
      <c r="A248" s="203"/>
      <c r="B248" s="273"/>
      <c r="C248" s="273"/>
      <c r="D248" s="273"/>
      <c r="E248" s="3"/>
      <c r="F248" s="2"/>
      <c r="G248" s="2"/>
      <c r="H248" s="2"/>
      <c r="I248" s="2"/>
    </row>
    <row r="249" spans="1:9" s="439" customFormat="1" ht="15.75" customHeight="1">
      <c r="A249" s="203"/>
      <c r="B249" s="273"/>
      <c r="C249" s="273"/>
      <c r="D249" s="273"/>
      <c r="E249" s="3"/>
      <c r="F249" s="2"/>
      <c r="G249" s="2"/>
      <c r="H249" s="2"/>
      <c r="I249" s="2"/>
    </row>
    <row r="250" spans="1:9" s="439" customFormat="1" ht="15.75" customHeight="1">
      <c r="A250" s="203"/>
      <c r="B250" s="273"/>
      <c r="C250" s="273"/>
      <c r="D250" s="273"/>
      <c r="E250" s="3"/>
      <c r="F250" s="2"/>
      <c r="G250" s="2"/>
      <c r="H250" s="2"/>
      <c r="I250" s="2"/>
    </row>
    <row r="251" spans="1:9" s="439" customFormat="1" ht="15.75" customHeight="1">
      <c r="A251" s="203"/>
      <c r="B251" s="273"/>
      <c r="C251" s="273"/>
      <c r="D251" s="273"/>
      <c r="E251" s="3"/>
      <c r="F251" s="2"/>
      <c r="G251" s="2"/>
      <c r="H251" s="2"/>
      <c r="I251" s="2"/>
    </row>
    <row r="252" spans="1:9" s="439" customFormat="1" ht="15.75" customHeight="1">
      <c r="A252" s="203"/>
      <c r="B252" s="273"/>
      <c r="C252" s="273"/>
      <c r="D252" s="273"/>
      <c r="E252" s="3"/>
      <c r="F252" s="2"/>
      <c r="G252" s="2"/>
      <c r="H252" s="2"/>
      <c r="I252" s="2"/>
    </row>
    <row r="253" spans="1:9" s="439" customFormat="1" ht="15.75" customHeight="1">
      <c r="A253" s="203"/>
      <c r="B253" s="273"/>
      <c r="C253" s="273"/>
      <c r="D253" s="273"/>
      <c r="E253" s="3"/>
      <c r="F253" s="2"/>
      <c r="G253" s="2"/>
      <c r="H253" s="2"/>
      <c r="I253" s="2"/>
    </row>
    <row r="254" spans="1:9" s="439" customFormat="1" ht="15.75" customHeight="1">
      <c r="A254" s="203"/>
      <c r="B254" s="273"/>
      <c r="C254" s="273"/>
      <c r="D254" s="273"/>
      <c r="E254" s="3"/>
      <c r="F254" s="2"/>
      <c r="G254" s="2"/>
      <c r="H254" s="2"/>
      <c r="I254" s="2"/>
    </row>
    <row r="255" spans="1:9" s="439" customFormat="1" ht="15.75" customHeight="1">
      <c r="A255" s="203"/>
      <c r="B255" s="273"/>
      <c r="C255" s="273"/>
      <c r="D255" s="273"/>
      <c r="E255" s="3"/>
      <c r="F255" s="2"/>
      <c r="G255" s="2"/>
      <c r="H255" s="2"/>
      <c r="I255" s="2"/>
    </row>
    <row r="256" spans="1:9" s="439" customFormat="1" ht="15.75" customHeight="1">
      <c r="A256" s="203"/>
      <c r="B256" s="273"/>
      <c r="C256" s="273"/>
      <c r="D256" s="273"/>
      <c r="E256" s="3"/>
      <c r="F256" s="2"/>
      <c r="G256" s="2"/>
      <c r="H256" s="2"/>
      <c r="I256" s="2"/>
    </row>
    <row r="257" spans="1:9" s="439" customFormat="1" ht="15.75" customHeight="1">
      <c r="A257" s="203"/>
      <c r="B257" s="273"/>
      <c r="C257" s="273"/>
      <c r="D257" s="273"/>
      <c r="E257" s="3"/>
      <c r="F257" s="2"/>
      <c r="G257" s="2"/>
      <c r="H257" s="2"/>
      <c r="I257" s="2"/>
    </row>
    <row r="258" spans="1:9" s="439" customFormat="1" ht="15.75" customHeight="1">
      <c r="A258" s="203"/>
      <c r="B258" s="273"/>
      <c r="C258" s="273"/>
      <c r="D258" s="273"/>
      <c r="E258" s="3"/>
      <c r="F258" s="2"/>
      <c r="G258" s="2"/>
      <c r="H258" s="2"/>
      <c r="I258" s="2"/>
    </row>
    <row r="259" spans="1:9" s="439" customFormat="1" ht="15.75" customHeight="1">
      <c r="A259" s="203"/>
      <c r="B259" s="273"/>
      <c r="C259" s="273"/>
      <c r="D259" s="273"/>
      <c r="E259" s="3"/>
      <c r="F259" s="2"/>
      <c r="G259" s="2"/>
      <c r="H259" s="2"/>
      <c r="I259" s="2"/>
    </row>
    <row r="260" spans="1:9" s="439" customFormat="1" ht="15.75" customHeight="1">
      <c r="A260" s="203"/>
      <c r="B260" s="273"/>
      <c r="C260" s="273"/>
      <c r="D260" s="273"/>
      <c r="E260" s="3"/>
      <c r="F260" s="2"/>
      <c r="G260" s="2"/>
      <c r="H260" s="2"/>
      <c r="I260" s="2"/>
    </row>
    <row r="261" spans="1:9" s="439" customFormat="1" ht="15.75" customHeight="1">
      <c r="A261" s="203"/>
      <c r="B261" s="273"/>
      <c r="C261" s="273"/>
      <c r="D261" s="273"/>
      <c r="E261" s="3"/>
      <c r="F261" s="2"/>
      <c r="G261" s="2"/>
      <c r="H261" s="2"/>
      <c r="I261" s="2"/>
    </row>
    <row r="262" spans="1:9" s="439" customFormat="1" ht="15.75" customHeight="1">
      <c r="A262" s="203"/>
      <c r="B262" s="273"/>
      <c r="C262" s="273"/>
      <c r="D262" s="273"/>
      <c r="E262" s="3"/>
      <c r="F262" s="2"/>
      <c r="G262" s="2"/>
      <c r="H262" s="2"/>
      <c r="I262" s="2"/>
    </row>
    <row r="263" spans="1:9" s="439" customFormat="1" ht="15.75" customHeight="1">
      <c r="A263" s="203"/>
      <c r="B263" s="273"/>
      <c r="C263" s="273"/>
      <c r="D263" s="273"/>
      <c r="E263" s="3"/>
      <c r="F263" s="2"/>
      <c r="G263" s="2"/>
      <c r="H263" s="2"/>
      <c r="I263" s="2"/>
    </row>
    <row r="264" spans="1:9" s="439" customFormat="1" ht="15.75" customHeight="1">
      <c r="A264" s="203"/>
      <c r="B264" s="273"/>
      <c r="C264" s="273"/>
      <c r="D264" s="273"/>
      <c r="E264" s="3"/>
      <c r="F264" s="2"/>
      <c r="G264" s="2"/>
      <c r="H264" s="2"/>
      <c r="I264" s="2"/>
    </row>
    <row r="265" spans="1:9" s="439" customFormat="1" ht="15.75" customHeight="1">
      <c r="A265" s="203"/>
      <c r="B265" s="273"/>
      <c r="C265" s="273"/>
      <c r="D265" s="273"/>
      <c r="E265" s="3"/>
      <c r="F265" s="2"/>
      <c r="G265" s="2"/>
      <c r="H265" s="2"/>
      <c r="I265" s="2"/>
    </row>
    <row r="266" spans="1:9" s="439" customFormat="1" ht="15.75" customHeight="1">
      <c r="A266" s="203"/>
      <c r="B266" s="273"/>
      <c r="C266" s="273"/>
      <c r="D266" s="273"/>
      <c r="E266" s="3"/>
      <c r="F266" s="2"/>
      <c r="G266" s="2"/>
      <c r="H266" s="2"/>
      <c r="I266" s="2"/>
    </row>
    <row r="267" spans="1:9" s="439" customFormat="1" ht="15.75" customHeight="1">
      <c r="A267" s="203"/>
      <c r="B267" s="273"/>
      <c r="C267" s="273"/>
      <c r="D267" s="273"/>
      <c r="E267" s="3"/>
      <c r="F267" s="2"/>
      <c r="G267" s="2"/>
      <c r="H267" s="2"/>
      <c r="I267" s="2"/>
    </row>
    <row r="268" spans="1:9" s="439" customFormat="1" ht="15.75" customHeight="1">
      <c r="A268" s="203"/>
      <c r="B268" s="273"/>
      <c r="C268" s="273"/>
      <c r="D268" s="273"/>
      <c r="E268" s="3"/>
      <c r="F268" s="2"/>
      <c r="G268" s="2"/>
      <c r="H268" s="2"/>
      <c r="I268" s="2"/>
    </row>
    <row r="269" spans="1:9" s="439" customFormat="1" ht="15.75" customHeight="1">
      <c r="A269" s="203"/>
      <c r="B269" s="273"/>
      <c r="C269" s="273"/>
      <c r="D269" s="273"/>
      <c r="E269" s="3"/>
      <c r="F269" s="2"/>
      <c r="G269" s="2"/>
      <c r="H269" s="2"/>
      <c r="I269" s="2"/>
    </row>
    <row r="270" spans="1:9" s="439" customFormat="1" ht="15.75" customHeight="1">
      <c r="A270" s="203"/>
      <c r="B270" s="273"/>
      <c r="C270" s="273"/>
      <c r="D270" s="273"/>
      <c r="E270" s="3"/>
      <c r="F270" s="2"/>
      <c r="G270" s="2"/>
      <c r="H270" s="2"/>
      <c r="I270" s="2"/>
    </row>
    <row r="271" spans="1:9" s="439" customFormat="1" ht="15.75" customHeight="1">
      <c r="A271" s="203"/>
      <c r="B271" s="273"/>
      <c r="C271" s="273"/>
      <c r="D271" s="273"/>
      <c r="E271" s="3"/>
      <c r="F271" s="2"/>
      <c r="G271" s="2"/>
      <c r="H271" s="2"/>
      <c r="I271" s="2"/>
    </row>
    <row r="272" spans="1:9" s="439" customFormat="1" ht="15.75" customHeight="1">
      <c r="A272" s="203"/>
      <c r="B272" s="273"/>
      <c r="C272" s="273"/>
      <c r="D272" s="273"/>
      <c r="E272" s="3"/>
      <c r="F272" s="2"/>
      <c r="G272" s="2"/>
      <c r="H272" s="2"/>
      <c r="I272" s="2"/>
    </row>
    <row r="273" spans="1:9" s="439" customFormat="1" ht="15.75" customHeight="1">
      <c r="A273" s="203"/>
      <c r="B273" s="273"/>
      <c r="C273" s="273"/>
      <c r="D273" s="273"/>
      <c r="E273" s="3"/>
      <c r="F273" s="2"/>
      <c r="G273" s="2"/>
      <c r="H273" s="2"/>
      <c r="I273" s="2"/>
    </row>
    <row r="274" spans="1:9" s="439" customFormat="1" ht="15.75" customHeight="1">
      <c r="A274" s="203"/>
      <c r="B274" s="273"/>
      <c r="C274" s="273"/>
      <c r="D274" s="273"/>
      <c r="E274" s="3"/>
      <c r="F274" s="2"/>
      <c r="G274" s="2"/>
      <c r="H274" s="2"/>
      <c r="I274" s="2"/>
    </row>
    <row r="275" spans="1:9" s="439" customFormat="1" ht="15.75" customHeight="1">
      <c r="A275" s="203"/>
      <c r="B275" s="273"/>
      <c r="C275" s="273"/>
      <c r="D275" s="273"/>
      <c r="E275" s="3"/>
      <c r="F275" s="2"/>
      <c r="G275" s="2"/>
      <c r="H275" s="2"/>
      <c r="I275" s="2"/>
    </row>
    <row r="276" spans="1:9" s="439" customFormat="1" ht="15.75" customHeight="1">
      <c r="A276" s="203"/>
      <c r="B276" s="273"/>
      <c r="C276" s="273"/>
      <c r="D276" s="273"/>
      <c r="E276" s="3"/>
      <c r="F276" s="2"/>
      <c r="G276" s="2"/>
      <c r="H276" s="2"/>
      <c r="I276" s="2"/>
    </row>
    <row r="277" spans="1:9" s="439" customFormat="1" ht="15.75" customHeight="1">
      <c r="A277" s="203"/>
      <c r="B277" s="273"/>
      <c r="C277" s="273"/>
      <c r="D277" s="273"/>
      <c r="E277" s="3"/>
      <c r="F277" s="2"/>
      <c r="G277" s="2"/>
      <c r="H277" s="2"/>
      <c r="I277" s="2"/>
    </row>
    <row r="278" spans="1:9" s="439" customFormat="1" ht="15.75" customHeight="1">
      <c r="A278" s="203"/>
      <c r="B278" s="273"/>
      <c r="C278" s="273"/>
      <c r="D278" s="273"/>
      <c r="E278" s="3"/>
      <c r="F278" s="2"/>
      <c r="G278" s="2"/>
      <c r="H278" s="2"/>
      <c r="I278" s="2"/>
    </row>
    <row r="279" spans="1:9" s="439" customFormat="1" ht="15.75" customHeight="1">
      <c r="A279" s="203"/>
      <c r="B279" s="273"/>
      <c r="C279" s="273"/>
      <c r="D279" s="273"/>
      <c r="E279" s="3"/>
      <c r="F279" s="2"/>
      <c r="G279" s="2"/>
      <c r="H279" s="2"/>
      <c r="I279" s="2"/>
    </row>
    <row r="280" spans="1:9" s="439" customFormat="1" ht="15.75" customHeight="1">
      <c r="A280" s="203"/>
      <c r="B280" s="273"/>
      <c r="C280" s="273"/>
      <c r="D280" s="273"/>
      <c r="E280" s="3"/>
      <c r="F280" s="2"/>
      <c r="G280" s="2"/>
      <c r="H280" s="2"/>
      <c r="I280" s="2"/>
    </row>
    <row r="281" spans="1:9" s="439" customFormat="1" ht="15.75" customHeight="1">
      <c r="A281" s="203"/>
      <c r="B281" s="273"/>
      <c r="C281" s="273"/>
      <c r="D281" s="273"/>
      <c r="E281" s="3"/>
      <c r="F281" s="2"/>
      <c r="G281" s="2"/>
      <c r="H281" s="2"/>
      <c r="I281" s="2"/>
    </row>
    <row r="282" spans="1:9" s="439" customFormat="1" ht="15.75" customHeight="1">
      <c r="A282" s="203"/>
      <c r="B282" s="273"/>
      <c r="C282" s="273"/>
      <c r="D282" s="273"/>
      <c r="E282" s="3"/>
      <c r="F282" s="2"/>
      <c r="G282" s="2"/>
      <c r="H282" s="2"/>
      <c r="I282" s="2"/>
    </row>
    <row r="283" spans="1:9" s="439" customFormat="1" ht="15.75" customHeight="1">
      <c r="A283" s="203"/>
      <c r="B283" s="273"/>
      <c r="C283" s="273"/>
      <c r="D283" s="273"/>
      <c r="E283" s="3"/>
      <c r="F283" s="2"/>
      <c r="G283" s="2"/>
      <c r="H283" s="2"/>
      <c r="I283" s="2"/>
    </row>
    <row r="284" spans="1:9" s="439" customFormat="1" ht="15.75" customHeight="1">
      <c r="A284" s="203"/>
      <c r="B284" s="273"/>
      <c r="C284" s="273"/>
      <c r="D284" s="273"/>
      <c r="E284" s="3"/>
      <c r="F284" s="2"/>
      <c r="G284" s="2"/>
      <c r="H284" s="2"/>
      <c r="I284" s="2"/>
    </row>
    <row r="285" spans="1:9" s="439" customFormat="1" ht="15.75" customHeight="1">
      <c r="A285" s="203"/>
      <c r="B285" s="273"/>
      <c r="C285" s="273"/>
      <c r="D285" s="273"/>
      <c r="E285" s="3"/>
      <c r="F285" s="2"/>
      <c r="G285" s="2"/>
      <c r="H285" s="2"/>
      <c r="I285" s="2"/>
    </row>
    <row r="286" spans="1:9" s="439" customFormat="1" ht="15.75" customHeight="1">
      <c r="A286" s="203"/>
      <c r="B286" s="273"/>
      <c r="C286" s="273"/>
      <c r="D286" s="273"/>
      <c r="E286" s="3"/>
      <c r="F286" s="2"/>
      <c r="G286" s="2"/>
      <c r="H286" s="2"/>
      <c r="I286" s="2"/>
    </row>
    <row r="287" spans="1:9" s="439" customFormat="1" ht="15.75" customHeight="1">
      <c r="A287" s="203"/>
      <c r="B287" s="273"/>
      <c r="C287" s="273"/>
      <c r="D287" s="273"/>
      <c r="E287" s="3"/>
      <c r="F287" s="2"/>
      <c r="G287" s="2"/>
      <c r="H287" s="2"/>
      <c r="I287" s="2"/>
    </row>
    <row r="288" spans="1:9" s="439" customFormat="1" ht="15.75" customHeight="1">
      <c r="A288" s="203"/>
      <c r="B288" s="273"/>
      <c r="C288" s="273"/>
      <c r="D288" s="273"/>
      <c r="E288" s="3"/>
      <c r="F288" s="2"/>
      <c r="G288" s="2"/>
      <c r="H288" s="2"/>
      <c r="I288" s="2"/>
    </row>
    <row r="289" spans="1:9" s="439" customFormat="1" ht="15.75" customHeight="1">
      <c r="A289" s="203"/>
      <c r="B289" s="273"/>
      <c r="C289" s="273"/>
      <c r="D289" s="273"/>
      <c r="E289" s="3"/>
      <c r="F289" s="2"/>
      <c r="G289" s="2"/>
      <c r="H289" s="2"/>
      <c r="I289" s="2"/>
    </row>
    <row r="290" spans="1:9" s="439" customFormat="1" ht="15.75" customHeight="1">
      <c r="A290" s="203"/>
      <c r="B290" s="273"/>
      <c r="C290" s="273"/>
      <c r="D290" s="273"/>
      <c r="E290" s="3"/>
      <c r="F290" s="2"/>
      <c r="G290" s="2"/>
      <c r="H290" s="2"/>
      <c r="I290" s="2"/>
    </row>
    <row r="291" spans="1:9" s="439" customFormat="1" ht="15.75" customHeight="1">
      <c r="A291" s="203"/>
      <c r="B291" s="273"/>
      <c r="C291" s="273"/>
      <c r="D291" s="273"/>
      <c r="E291" s="3"/>
      <c r="F291" s="2"/>
      <c r="G291" s="2"/>
      <c r="H291" s="2"/>
      <c r="I291" s="2"/>
    </row>
    <row r="292" spans="1:9" s="439" customFormat="1" ht="15.75" customHeight="1">
      <c r="A292" s="203"/>
      <c r="B292" s="273"/>
      <c r="C292" s="273"/>
      <c r="D292" s="273"/>
      <c r="E292" s="3"/>
      <c r="F292" s="2"/>
      <c r="G292" s="2"/>
      <c r="H292" s="2"/>
      <c r="I292" s="2"/>
    </row>
    <row r="293" spans="1:9" s="439" customFormat="1" ht="15.75" customHeight="1">
      <c r="A293" s="203"/>
      <c r="B293" s="273"/>
      <c r="C293" s="273"/>
      <c r="D293" s="273"/>
      <c r="E293" s="3"/>
      <c r="F293" s="2"/>
      <c r="G293" s="2"/>
      <c r="H293" s="2"/>
      <c r="I293" s="2"/>
    </row>
    <row r="294" spans="1:9" s="439" customFormat="1" ht="15.75" customHeight="1">
      <c r="A294" s="203"/>
      <c r="B294" s="273"/>
      <c r="C294" s="273"/>
      <c r="D294" s="273"/>
      <c r="E294" s="3"/>
      <c r="F294" s="2"/>
      <c r="G294" s="2"/>
      <c r="H294" s="2"/>
      <c r="I294" s="2"/>
    </row>
    <row r="295" spans="1:9" s="439" customFormat="1" ht="15.75" customHeight="1">
      <c r="A295" s="203"/>
      <c r="B295" s="273"/>
      <c r="C295" s="273"/>
      <c r="D295" s="273"/>
      <c r="E295" s="3"/>
      <c r="F295" s="2"/>
      <c r="G295" s="2"/>
      <c r="H295" s="2"/>
      <c r="I295" s="2"/>
    </row>
    <row r="296" spans="1:9" s="439" customFormat="1" ht="15.75" customHeight="1">
      <c r="A296" s="203"/>
      <c r="B296" s="273"/>
      <c r="C296" s="273"/>
      <c r="D296" s="273"/>
      <c r="E296" s="3"/>
      <c r="F296" s="2"/>
      <c r="G296" s="2"/>
      <c r="H296" s="2"/>
      <c r="I296" s="2"/>
    </row>
    <row r="297" spans="1:9" s="439" customFormat="1" ht="15.75" customHeight="1">
      <c r="A297" s="203"/>
      <c r="B297" s="273"/>
      <c r="C297" s="273"/>
      <c r="D297" s="273"/>
      <c r="E297" s="3"/>
      <c r="F297" s="2"/>
      <c r="G297" s="2"/>
      <c r="H297" s="2"/>
      <c r="I297" s="2"/>
    </row>
    <row r="298" spans="1:9" s="439" customFormat="1" ht="15.75" customHeight="1">
      <c r="A298" s="203"/>
      <c r="B298" s="273"/>
      <c r="C298" s="273"/>
      <c r="D298" s="273"/>
      <c r="E298" s="3"/>
      <c r="F298" s="2"/>
      <c r="G298" s="2"/>
      <c r="H298" s="2"/>
      <c r="I298" s="2"/>
    </row>
    <row r="299" spans="1:9" s="439" customFormat="1" ht="15.75" customHeight="1">
      <c r="A299" s="203"/>
      <c r="B299" s="273"/>
      <c r="C299" s="273"/>
      <c r="D299" s="273"/>
      <c r="E299" s="3"/>
      <c r="F299" s="2"/>
      <c r="G299" s="2"/>
      <c r="H299" s="2"/>
      <c r="I299" s="2"/>
    </row>
    <row r="300" spans="1:9" s="439" customFormat="1" ht="15.75" customHeight="1">
      <c r="A300" s="203"/>
      <c r="B300" s="273"/>
      <c r="C300" s="273"/>
      <c r="D300" s="273"/>
      <c r="E300" s="3"/>
      <c r="F300" s="2"/>
      <c r="G300" s="2"/>
      <c r="H300" s="2"/>
      <c r="I300" s="2"/>
    </row>
    <row r="301" spans="1:9" s="439" customFormat="1" ht="15.75" customHeight="1">
      <c r="A301" s="203"/>
      <c r="B301" s="273"/>
      <c r="C301" s="273"/>
      <c r="D301" s="273"/>
      <c r="E301" s="3"/>
      <c r="F301" s="2"/>
      <c r="G301" s="2"/>
      <c r="H301" s="2"/>
      <c r="I301" s="2"/>
    </row>
    <row r="302" spans="1:9" s="439" customFormat="1" ht="15.75" customHeight="1">
      <c r="A302" s="203"/>
      <c r="B302" s="273"/>
      <c r="C302" s="273"/>
      <c r="D302" s="273"/>
      <c r="E302" s="3"/>
      <c r="F302" s="2"/>
      <c r="G302" s="2"/>
      <c r="H302" s="2"/>
      <c r="I302" s="2"/>
    </row>
    <row r="303" spans="1:9" s="439" customFormat="1" ht="15.75" customHeight="1">
      <c r="A303" s="203"/>
      <c r="B303" s="273"/>
      <c r="C303" s="273"/>
      <c r="D303" s="273"/>
      <c r="E303" s="3"/>
      <c r="F303" s="2"/>
      <c r="G303" s="2"/>
      <c r="H303" s="2"/>
      <c r="I303" s="2"/>
    </row>
    <row r="304" spans="1:9" s="439" customFormat="1" ht="15.75" customHeight="1">
      <c r="A304" s="203"/>
      <c r="B304" s="273"/>
      <c r="C304" s="273"/>
      <c r="D304" s="273"/>
      <c r="E304" s="3"/>
      <c r="F304" s="2"/>
      <c r="G304" s="2"/>
      <c r="H304" s="2"/>
      <c r="I304" s="2"/>
    </row>
    <row r="305" spans="1:9" s="439" customFormat="1" ht="15.75" customHeight="1">
      <c r="A305" s="203"/>
      <c r="B305" s="273"/>
      <c r="C305" s="273"/>
      <c r="D305" s="273"/>
      <c r="E305" s="3"/>
      <c r="F305" s="2"/>
      <c r="G305" s="2"/>
      <c r="H305" s="2"/>
      <c r="I305" s="2"/>
    </row>
    <row r="306" spans="1:9" s="439" customFormat="1" ht="15.75" customHeight="1">
      <c r="A306" s="203"/>
      <c r="B306" s="273"/>
      <c r="C306" s="273"/>
      <c r="D306" s="273"/>
      <c r="E306" s="3"/>
      <c r="F306" s="2"/>
      <c r="G306" s="2"/>
      <c r="H306" s="2"/>
      <c r="I306" s="2"/>
    </row>
    <row r="307" spans="1:9" s="439" customFormat="1" ht="15.75" customHeight="1">
      <c r="A307" s="203"/>
      <c r="B307" s="273"/>
      <c r="C307" s="273"/>
      <c r="D307" s="273"/>
      <c r="E307" s="3"/>
      <c r="F307" s="2"/>
      <c r="G307" s="2"/>
      <c r="H307" s="2"/>
      <c r="I307" s="2"/>
    </row>
    <row r="308" spans="1:9" s="439" customFormat="1" ht="15.75" customHeight="1">
      <c r="A308" s="203"/>
      <c r="B308" s="273"/>
      <c r="C308" s="273"/>
      <c r="D308" s="273"/>
      <c r="E308" s="3"/>
      <c r="F308" s="2"/>
      <c r="G308" s="2"/>
      <c r="H308" s="2"/>
      <c r="I308" s="2"/>
    </row>
    <row r="309" spans="1:9" s="439" customFormat="1" ht="15.75" customHeight="1">
      <c r="A309" s="203"/>
      <c r="B309" s="273"/>
      <c r="C309" s="273"/>
      <c r="D309" s="273"/>
      <c r="E309" s="3"/>
      <c r="F309" s="2"/>
      <c r="G309" s="2"/>
      <c r="H309" s="2"/>
      <c r="I309" s="2"/>
    </row>
    <row r="310" spans="1:9" s="439" customFormat="1" ht="15.75" customHeight="1">
      <c r="A310" s="203"/>
      <c r="B310" s="273"/>
      <c r="C310" s="273"/>
      <c r="D310" s="273"/>
      <c r="E310" s="3"/>
      <c r="F310" s="2"/>
      <c r="G310" s="2"/>
      <c r="H310" s="2"/>
      <c r="I310" s="2"/>
    </row>
    <row r="311" spans="1:9" s="439" customFormat="1" ht="15.75" customHeight="1">
      <c r="A311" s="203"/>
      <c r="B311" s="273"/>
      <c r="C311" s="273"/>
      <c r="D311" s="273"/>
      <c r="E311" s="3"/>
      <c r="F311" s="2"/>
      <c r="G311" s="2"/>
      <c r="H311" s="2"/>
      <c r="I311" s="2"/>
    </row>
    <row r="312" spans="1:9" s="439" customFormat="1" ht="15.75" customHeight="1">
      <c r="A312" s="203"/>
      <c r="B312" s="273"/>
      <c r="C312" s="273"/>
      <c r="D312" s="273"/>
      <c r="E312" s="3"/>
      <c r="F312" s="2"/>
      <c r="G312" s="2"/>
      <c r="H312" s="2"/>
      <c r="I312" s="2"/>
    </row>
    <row r="313" spans="1:9" s="439" customFormat="1" ht="15.75" customHeight="1">
      <c r="A313" s="203"/>
      <c r="B313" s="273"/>
      <c r="C313" s="273"/>
      <c r="D313" s="273"/>
      <c r="E313" s="3"/>
      <c r="F313" s="2"/>
      <c r="G313" s="2"/>
      <c r="H313" s="2"/>
      <c r="I313" s="2"/>
    </row>
    <row r="314" spans="1:9" s="439" customFormat="1" ht="15.75" customHeight="1">
      <c r="A314" s="203"/>
      <c r="B314" s="273"/>
      <c r="C314" s="273"/>
      <c r="D314" s="273"/>
      <c r="E314" s="3"/>
      <c r="F314" s="2"/>
      <c r="G314" s="2"/>
      <c r="H314" s="2"/>
      <c r="I314" s="2"/>
    </row>
    <row r="315" spans="1:9" s="439" customFormat="1" ht="15.75" customHeight="1">
      <c r="A315" s="203"/>
      <c r="B315" s="273"/>
      <c r="C315" s="273"/>
      <c r="D315" s="273"/>
      <c r="E315" s="3"/>
      <c r="F315" s="2"/>
      <c r="G315" s="2"/>
      <c r="H315" s="2"/>
      <c r="I315" s="2"/>
    </row>
    <row r="316" spans="1:9" s="439" customFormat="1" ht="15.75" customHeight="1">
      <c r="A316" s="203"/>
      <c r="B316" s="273"/>
      <c r="C316" s="273"/>
      <c r="D316" s="273"/>
      <c r="E316" s="3"/>
      <c r="F316" s="2"/>
      <c r="G316" s="2"/>
      <c r="H316" s="2"/>
      <c r="I316" s="2"/>
    </row>
    <row r="317" spans="1:9" s="439" customFormat="1" ht="15.75" customHeight="1">
      <c r="A317" s="203"/>
      <c r="B317" s="273"/>
      <c r="C317" s="273"/>
      <c r="D317" s="273"/>
      <c r="E317" s="3"/>
      <c r="F317" s="2"/>
      <c r="G317" s="2"/>
      <c r="H317" s="2"/>
      <c r="I317" s="2"/>
    </row>
    <row r="318" spans="1:9" s="439" customFormat="1" ht="15.75" customHeight="1">
      <c r="A318" s="203"/>
      <c r="B318" s="273"/>
      <c r="C318" s="273"/>
      <c r="D318" s="273"/>
      <c r="E318" s="3"/>
      <c r="F318" s="2"/>
      <c r="G318" s="2"/>
      <c r="H318" s="2"/>
      <c r="I318" s="2"/>
    </row>
    <row r="319" spans="1:9" s="439" customFormat="1" ht="15.75" customHeight="1">
      <c r="A319" s="203"/>
      <c r="B319" s="273"/>
      <c r="C319" s="273"/>
      <c r="D319" s="273"/>
      <c r="E319" s="3"/>
      <c r="F319" s="2"/>
      <c r="G319" s="2"/>
      <c r="H319" s="2"/>
      <c r="I319" s="2"/>
    </row>
    <row r="320" spans="1:9" s="439" customFormat="1" ht="15.75" customHeight="1">
      <c r="A320" s="203"/>
      <c r="B320" s="273"/>
      <c r="C320" s="273"/>
      <c r="D320" s="273"/>
      <c r="E320" s="3"/>
      <c r="F320" s="2"/>
      <c r="G320" s="2"/>
      <c r="H320" s="2"/>
      <c r="I320" s="2"/>
    </row>
    <row r="321" spans="1:9" s="439" customFormat="1" ht="15.75" customHeight="1">
      <c r="A321" s="203"/>
      <c r="B321" s="273"/>
      <c r="C321" s="273"/>
      <c r="D321" s="273"/>
      <c r="E321" s="3"/>
      <c r="F321" s="2"/>
      <c r="G321" s="2"/>
      <c r="H321" s="2"/>
      <c r="I321" s="2"/>
    </row>
    <row r="322" spans="1:9" s="439" customFormat="1" ht="15.75" customHeight="1">
      <c r="A322" s="203"/>
      <c r="B322" s="273"/>
      <c r="C322" s="273"/>
      <c r="D322" s="273"/>
      <c r="E322" s="3"/>
      <c r="F322" s="2"/>
      <c r="G322" s="2"/>
      <c r="H322" s="2"/>
      <c r="I322" s="2"/>
    </row>
    <row r="323" spans="1:9" s="439" customFormat="1" ht="15.75" customHeight="1">
      <c r="A323" s="203"/>
      <c r="B323" s="273"/>
      <c r="C323" s="273"/>
      <c r="D323" s="273"/>
      <c r="E323" s="3"/>
      <c r="F323" s="2"/>
      <c r="G323" s="2"/>
      <c r="H323" s="2"/>
      <c r="I323" s="2"/>
    </row>
    <row r="324" spans="1:9" s="439" customFormat="1" ht="15.75" customHeight="1">
      <c r="A324" s="203"/>
      <c r="B324" s="273"/>
      <c r="C324" s="273"/>
      <c r="D324" s="273"/>
      <c r="E324" s="3"/>
      <c r="F324" s="2"/>
      <c r="G324" s="2"/>
      <c r="H324" s="2"/>
      <c r="I324" s="2"/>
    </row>
    <row r="325" spans="1:9" s="439" customFormat="1" ht="15.75" customHeight="1">
      <c r="A325" s="203"/>
      <c r="B325" s="273"/>
      <c r="C325" s="273"/>
      <c r="D325" s="273"/>
      <c r="E325" s="3"/>
      <c r="F325" s="2"/>
      <c r="G325" s="2"/>
      <c r="H325" s="2"/>
      <c r="I325" s="2"/>
    </row>
    <row r="326" spans="1:9" s="439" customFormat="1" ht="15.75" customHeight="1">
      <c r="A326" s="203"/>
      <c r="B326" s="273"/>
      <c r="C326" s="273"/>
      <c r="D326" s="273"/>
      <c r="E326" s="3"/>
      <c r="F326" s="2"/>
      <c r="G326" s="2"/>
      <c r="H326" s="2"/>
      <c r="I326" s="2"/>
    </row>
    <row r="327" spans="1:9" s="439" customFormat="1" ht="15.75" customHeight="1">
      <c r="A327" s="203"/>
      <c r="B327" s="273"/>
      <c r="C327" s="273"/>
      <c r="D327" s="273"/>
      <c r="E327" s="3"/>
      <c r="F327" s="2"/>
      <c r="G327" s="2"/>
      <c r="H327" s="2"/>
      <c r="I327" s="2"/>
    </row>
    <row r="328" spans="1:9" s="439" customFormat="1" ht="15.75" customHeight="1">
      <c r="A328" s="203"/>
      <c r="B328" s="273"/>
      <c r="C328" s="273"/>
      <c r="D328" s="273"/>
      <c r="E328" s="3"/>
      <c r="F328" s="2"/>
      <c r="G328" s="2"/>
      <c r="H328" s="2"/>
      <c r="I328" s="2"/>
    </row>
    <row r="329" spans="1:9" s="439" customFormat="1" ht="15.75" customHeight="1">
      <c r="A329" s="203"/>
      <c r="B329" s="273"/>
      <c r="C329" s="273"/>
      <c r="D329" s="273"/>
      <c r="E329" s="3"/>
      <c r="F329" s="2"/>
      <c r="G329" s="2"/>
      <c r="H329" s="2"/>
      <c r="I329" s="2"/>
    </row>
    <row r="330" spans="1:9" s="439" customFormat="1" ht="15.75" customHeight="1">
      <c r="A330" s="203"/>
      <c r="B330" s="273"/>
      <c r="C330" s="273"/>
      <c r="D330" s="273"/>
      <c r="E330" s="3"/>
      <c r="F330" s="2"/>
      <c r="G330" s="2"/>
      <c r="H330" s="2"/>
      <c r="I330" s="2"/>
    </row>
    <row r="331" spans="1:9" s="439" customFormat="1" ht="15.75" customHeight="1">
      <c r="A331" s="203"/>
      <c r="B331" s="273"/>
      <c r="C331" s="273"/>
      <c r="D331" s="273"/>
      <c r="E331" s="3"/>
      <c r="F331" s="2"/>
      <c r="G331" s="2"/>
      <c r="H331" s="2"/>
      <c r="I331" s="2"/>
    </row>
    <row r="332" spans="1:9" s="439" customFormat="1" ht="15.75" customHeight="1">
      <c r="A332" s="203"/>
      <c r="B332" s="273"/>
      <c r="C332" s="273"/>
      <c r="D332" s="273"/>
      <c r="E332" s="3"/>
      <c r="F332" s="2"/>
      <c r="G332" s="2"/>
      <c r="H332" s="2"/>
      <c r="I332" s="2"/>
    </row>
    <row r="333" spans="1:9" s="439" customFormat="1" ht="15.75" customHeight="1">
      <c r="A333" s="203"/>
      <c r="B333" s="273"/>
      <c r="C333" s="273"/>
      <c r="D333" s="273"/>
      <c r="E333" s="3"/>
      <c r="F333" s="2"/>
      <c r="G333" s="2"/>
      <c r="H333" s="2"/>
      <c r="I333" s="2"/>
    </row>
    <row r="334" spans="1:9" s="439" customFormat="1" ht="15.75" customHeight="1">
      <c r="A334" s="203"/>
      <c r="B334" s="273"/>
      <c r="C334" s="273"/>
      <c r="D334" s="273"/>
      <c r="E334" s="3"/>
      <c r="F334" s="2"/>
      <c r="G334" s="2"/>
      <c r="H334" s="2"/>
      <c r="I334" s="2"/>
    </row>
    <row r="335" spans="1:9" s="439" customFormat="1" ht="15.75" customHeight="1">
      <c r="A335" s="203"/>
      <c r="B335" s="273"/>
      <c r="C335" s="273"/>
      <c r="D335" s="273"/>
      <c r="E335" s="3"/>
      <c r="F335" s="2"/>
      <c r="G335" s="2"/>
      <c r="H335" s="2"/>
      <c r="I335" s="2"/>
    </row>
    <row r="336" spans="1:9" s="439" customFormat="1" ht="15.75" customHeight="1">
      <c r="A336" s="203"/>
      <c r="B336" s="273"/>
      <c r="C336" s="273"/>
      <c r="D336" s="273"/>
      <c r="E336" s="3"/>
      <c r="F336" s="2"/>
      <c r="G336" s="2"/>
      <c r="H336" s="2"/>
      <c r="I336" s="2"/>
    </row>
    <row r="337" spans="1:9" s="439" customFormat="1" ht="15.75" customHeight="1">
      <c r="A337" s="203"/>
      <c r="B337" s="273"/>
      <c r="C337" s="273"/>
      <c r="D337" s="273"/>
      <c r="E337" s="3"/>
      <c r="F337" s="2"/>
      <c r="G337" s="2"/>
      <c r="H337" s="2"/>
      <c r="I337" s="2"/>
    </row>
    <row r="338" spans="1:9" s="439" customFormat="1" ht="15.75" customHeight="1">
      <c r="A338" s="203"/>
      <c r="B338" s="273"/>
      <c r="C338" s="273"/>
      <c r="D338" s="273"/>
      <c r="E338" s="3"/>
      <c r="F338" s="2"/>
      <c r="G338" s="2"/>
      <c r="H338" s="2"/>
      <c r="I338" s="2"/>
    </row>
    <row r="339" spans="1:9" s="439" customFormat="1" ht="15.75" customHeight="1">
      <c r="A339" s="203"/>
      <c r="B339" s="273"/>
      <c r="C339" s="273"/>
      <c r="D339" s="273"/>
      <c r="E339" s="3"/>
      <c r="F339" s="2"/>
      <c r="G339" s="2"/>
      <c r="H339" s="2"/>
      <c r="I339" s="2"/>
    </row>
    <row r="340" spans="1:9" s="439" customFormat="1" ht="15.75" customHeight="1">
      <c r="A340" s="203"/>
      <c r="B340" s="273"/>
      <c r="C340" s="273"/>
      <c r="D340" s="273"/>
      <c r="E340" s="3"/>
      <c r="F340" s="2"/>
      <c r="G340" s="2"/>
      <c r="H340" s="2"/>
      <c r="I340" s="2"/>
    </row>
    <row r="341" spans="1:9" s="439" customFormat="1" ht="15.75" customHeight="1">
      <c r="A341" s="203"/>
      <c r="B341" s="273"/>
      <c r="C341" s="273"/>
      <c r="D341" s="273"/>
      <c r="E341" s="3"/>
      <c r="F341" s="2"/>
      <c r="G341" s="2"/>
      <c r="H341" s="2"/>
      <c r="I341" s="2"/>
    </row>
    <row r="342" spans="1:9" s="439" customFormat="1" ht="15.75" customHeight="1">
      <c r="A342" s="203"/>
      <c r="B342" s="273"/>
      <c r="C342" s="273"/>
      <c r="D342" s="273"/>
      <c r="E342" s="3"/>
      <c r="F342" s="2"/>
      <c r="G342" s="2"/>
      <c r="H342" s="2"/>
      <c r="I342" s="2"/>
    </row>
    <row r="343" spans="1:9" s="439" customFormat="1" ht="15.75" customHeight="1">
      <c r="A343" s="203"/>
      <c r="B343" s="273"/>
      <c r="C343" s="273"/>
      <c r="D343" s="273"/>
      <c r="E343" s="3"/>
      <c r="F343" s="2"/>
      <c r="G343" s="2"/>
      <c r="H343" s="2"/>
      <c r="I343" s="2"/>
    </row>
    <row r="344" spans="1:9" s="439" customFormat="1" ht="15.75" customHeight="1">
      <c r="A344" s="203"/>
      <c r="B344" s="273"/>
      <c r="C344" s="273"/>
      <c r="D344" s="273"/>
      <c r="E344" s="3"/>
      <c r="F344" s="2"/>
      <c r="G344" s="2"/>
      <c r="H344" s="2"/>
      <c r="I344" s="2"/>
    </row>
    <row r="345" spans="1:9" s="439" customFormat="1" ht="15.75" customHeight="1">
      <c r="A345" s="203"/>
      <c r="B345" s="273"/>
      <c r="C345" s="273"/>
      <c r="D345" s="273"/>
      <c r="E345" s="3"/>
      <c r="F345" s="2"/>
      <c r="G345" s="2"/>
      <c r="H345" s="2"/>
      <c r="I345" s="2"/>
    </row>
    <row r="346" spans="1:9" s="439" customFormat="1" ht="15.75" customHeight="1">
      <c r="A346" s="203"/>
      <c r="B346" s="273"/>
      <c r="C346" s="273"/>
      <c r="D346" s="273"/>
      <c r="E346" s="3"/>
      <c r="F346" s="2"/>
      <c r="G346" s="2"/>
      <c r="H346" s="2"/>
      <c r="I346" s="2"/>
    </row>
    <row r="347" spans="1:9" s="439" customFormat="1" ht="15.75" customHeight="1">
      <c r="A347" s="203"/>
      <c r="B347" s="273"/>
      <c r="C347" s="273"/>
      <c r="D347" s="273"/>
      <c r="E347" s="3"/>
      <c r="F347" s="2"/>
      <c r="G347" s="2"/>
      <c r="H347" s="2"/>
      <c r="I347" s="2"/>
    </row>
    <row r="348" spans="1:9" s="439" customFormat="1" ht="15.75" customHeight="1">
      <c r="A348" s="203"/>
      <c r="B348" s="273"/>
      <c r="C348" s="273"/>
      <c r="D348" s="273"/>
      <c r="E348" s="3"/>
      <c r="F348" s="2"/>
      <c r="G348" s="2"/>
      <c r="H348" s="2"/>
      <c r="I348" s="2"/>
    </row>
    <row r="349" spans="1:9" s="439" customFormat="1" ht="15.75" customHeight="1">
      <c r="A349" s="203"/>
      <c r="B349" s="273"/>
      <c r="C349" s="273"/>
      <c r="D349" s="273"/>
      <c r="E349" s="3"/>
      <c r="F349" s="2"/>
      <c r="G349" s="2"/>
      <c r="H349" s="2"/>
      <c r="I349" s="2"/>
    </row>
    <row r="350" spans="1:9" s="439" customFormat="1" ht="15.75" customHeight="1">
      <c r="A350" s="203"/>
      <c r="B350" s="273"/>
      <c r="C350" s="273"/>
      <c r="D350" s="273"/>
      <c r="E350" s="3"/>
      <c r="F350" s="2"/>
      <c r="G350" s="2"/>
      <c r="H350" s="2"/>
      <c r="I350" s="2"/>
    </row>
    <row r="351" spans="1:9" s="439" customFormat="1" ht="15.75" customHeight="1">
      <c r="A351" s="203"/>
      <c r="B351" s="273"/>
      <c r="C351" s="273"/>
      <c r="D351" s="273"/>
      <c r="E351" s="3"/>
      <c r="F351" s="2"/>
      <c r="G351" s="2"/>
      <c r="H351" s="2"/>
      <c r="I351" s="2"/>
    </row>
    <row r="352" spans="1:9" s="439" customFormat="1" ht="15.75" customHeight="1">
      <c r="A352" s="203"/>
      <c r="B352" s="273"/>
      <c r="C352" s="273"/>
      <c r="D352" s="273"/>
      <c r="E352" s="3"/>
      <c r="F352" s="2"/>
      <c r="G352" s="2"/>
      <c r="H352" s="2"/>
      <c r="I352" s="2"/>
    </row>
    <row r="353" spans="1:9" s="439" customFormat="1" ht="15.75" customHeight="1">
      <c r="A353" s="203"/>
      <c r="B353" s="273"/>
      <c r="C353" s="273"/>
      <c r="D353" s="273"/>
      <c r="E353" s="3"/>
      <c r="F353" s="2"/>
      <c r="G353" s="2"/>
      <c r="H353" s="2"/>
      <c r="I353" s="2"/>
    </row>
    <row r="354" spans="1:9" s="439" customFormat="1" ht="15.75" customHeight="1">
      <c r="A354" s="203"/>
      <c r="B354" s="273"/>
      <c r="C354" s="273"/>
      <c r="D354" s="273"/>
      <c r="E354" s="3"/>
      <c r="F354" s="2"/>
      <c r="G354" s="2"/>
      <c r="H354" s="2"/>
      <c r="I354" s="2"/>
    </row>
    <row r="355" spans="1:9" s="439" customFormat="1" ht="15.75" customHeight="1">
      <c r="A355" s="203"/>
      <c r="B355" s="273"/>
      <c r="C355" s="273"/>
      <c r="D355" s="273"/>
      <c r="E355" s="3"/>
      <c r="F355" s="2"/>
      <c r="G355" s="2"/>
      <c r="H355" s="2"/>
      <c r="I355" s="2"/>
    </row>
    <row r="356" spans="1:9" s="439" customFormat="1" ht="15.75" customHeight="1">
      <c r="A356" s="203"/>
      <c r="B356" s="273"/>
      <c r="C356" s="273"/>
      <c r="D356" s="273"/>
      <c r="E356" s="3"/>
      <c r="F356" s="2"/>
      <c r="G356" s="2"/>
      <c r="H356" s="2"/>
      <c r="I356" s="2"/>
    </row>
    <row r="357" spans="1:9" s="439" customFormat="1" ht="15.75" customHeight="1">
      <c r="A357" s="203"/>
      <c r="B357" s="273"/>
      <c r="C357" s="273"/>
      <c r="D357" s="273"/>
      <c r="E357" s="3"/>
      <c r="F357" s="2"/>
      <c r="G357" s="2"/>
      <c r="H357" s="2"/>
      <c r="I357" s="2"/>
    </row>
    <row r="358" spans="1:9" s="439" customFormat="1" ht="15.75" customHeight="1">
      <c r="A358" s="203"/>
      <c r="B358" s="273"/>
      <c r="C358" s="273"/>
      <c r="D358" s="273"/>
      <c r="E358" s="3"/>
      <c r="F358" s="2"/>
      <c r="G358" s="2"/>
      <c r="H358" s="2"/>
      <c r="I358" s="2"/>
    </row>
    <row r="359" spans="1:9" s="439" customFormat="1" ht="15.75" customHeight="1">
      <c r="A359" s="203"/>
      <c r="B359" s="273"/>
      <c r="C359" s="273"/>
      <c r="D359" s="273"/>
      <c r="E359" s="3"/>
      <c r="F359" s="2"/>
      <c r="G359" s="2"/>
      <c r="H359" s="2"/>
      <c r="I359" s="2"/>
    </row>
    <row r="360" spans="1:9" s="439" customFormat="1" ht="15.75" customHeight="1">
      <c r="A360" s="203"/>
      <c r="B360" s="273"/>
      <c r="C360" s="273"/>
      <c r="D360" s="273"/>
      <c r="E360" s="3"/>
      <c r="F360" s="2"/>
      <c r="G360" s="2"/>
      <c r="H360" s="2"/>
      <c r="I360" s="2"/>
    </row>
    <row r="361" spans="1:9" s="439" customFormat="1" ht="15.75" customHeight="1">
      <c r="A361" s="203"/>
      <c r="B361" s="273"/>
      <c r="C361" s="273"/>
      <c r="D361" s="273"/>
      <c r="E361" s="3"/>
      <c r="F361" s="2"/>
      <c r="G361" s="2"/>
      <c r="H361" s="2"/>
      <c r="I361" s="2"/>
    </row>
    <row r="362" spans="1:9" s="439" customFormat="1" ht="15.75" customHeight="1">
      <c r="A362" s="203"/>
      <c r="B362" s="273"/>
      <c r="C362" s="273"/>
      <c r="D362" s="273"/>
      <c r="E362" s="3"/>
      <c r="F362" s="2"/>
      <c r="G362" s="2"/>
      <c r="H362" s="2"/>
      <c r="I362" s="2"/>
    </row>
    <row r="363" spans="1:9" s="439" customFormat="1" ht="15.75" customHeight="1">
      <c r="A363" s="203"/>
      <c r="B363" s="273"/>
      <c r="C363" s="273"/>
      <c r="D363" s="273"/>
      <c r="E363" s="3"/>
      <c r="F363" s="2"/>
      <c r="G363" s="2"/>
      <c r="H363" s="2"/>
      <c r="I363" s="2"/>
    </row>
    <row r="364" spans="1:9" s="439" customFormat="1" ht="15.75" customHeight="1">
      <c r="A364" s="203"/>
      <c r="B364" s="273"/>
      <c r="C364" s="273"/>
      <c r="D364" s="273"/>
      <c r="E364" s="3"/>
      <c r="F364" s="2"/>
      <c r="G364" s="2"/>
      <c r="H364" s="2"/>
      <c r="I364" s="2"/>
    </row>
    <row r="365" spans="1:9" s="439" customFormat="1" ht="15.75" customHeight="1">
      <c r="A365" s="203"/>
      <c r="B365" s="273"/>
      <c r="C365" s="273"/>
      <c r="D365" s="273"/>
      <c r="E365" s="3"/>
      <c r="F365" s="2"/>
      <c r="G365" s="2"/>
      <c r="H365" s="2"/>
      <c r="I365" s="2"/>
    </row>
    <row r="366" spans="1:9" s="439" customFormat="1" ht="15.75" customHeight="1">
      <c r="A366" s="203"/>
      <c r="B366" s="273"/>
      <c r="C366" s="273"/>
      <c r="D366" s="273"/>
      <c r="E366" s="3"/>
      <c r="F366" s="2"/>
      <c r="G366" s="2"/>
      <c r="H366" s="2"/>
      <c r="I366" s="2"/>
    </row>
    <row r="367" spans="1:9" s="439" customFormat="1" ht="15.75" customHeight="1">
      <c r="A367" s="203"/>
      <c r="B367" s="273"/>
      <c r="C367" s="273"/>
      <c r="D367" s="273"/>
      <c r="E367" s="3"/>
      <c r="F367" s="2"/>
      <c r="G367" s="2"/>
      <c r="H367" s="2"/>
      <c r="I367" s="2"/>
    </row>
    <row r="368" spans="1:9" s="439" customFormat="1" ht="15.75" customHeight="1">
      <c r="A368" s="203"/>
      <c r="B368" s="273"/>
      <c r="C368" s="273"/>
      <c r="D368" s="273"/>
      <c r="E368" s="3"/>
      <c r="F368" s="2"/>
      <c r="G368" s="2"/>
      <c r="H368" s="2"/>
      <c r="I368" s="2"/>
    </row>
    <row r="369" spans="1:9" s="439" customFormat="1" ht="15.75" customHeight="1">
      <c r="A369" s="203"/>
      <c r="B369" s="273"/>
      <c r="C369" s="273"/>
      <c r="D369" s="273"/>
      <c r="E369" s="3"/>
      <c r="F369" s="2"/>
      <c r="G369" s="2"/>
      <c r="H369" s="2"/>
      <c r="I369" s="2"/>
    </row>
    <row r="370" spans="1:9" s="439" customFormat="1" ht="15.75" customHeight="1">
      <c r="A370" s="203"/>
      <c r="B370" s="273"/>
      <c r="C370" s="273"/>
      <c r="D370" s="273"/>
      <c r="E370" s="3"/>
      <c r="F370" s="2"/>
      <c r="G370" s="2"/>
      <c r="H370" s="2"/>
      <c r="I370" s="2"/>
    </row>
    <row r="371" spans="1:9" s="439" customFormat="1" ht="15.75" customHeight="1">
      <c r="A371" s="203"/>
      <c r="B371" s="273"/>
      <c r="C371" s="273"/>
      <c r="D371" s="273"/>
      <c r="E371" s="3"/>
      <c r="F371" s="2"/>
      <c r="G371" s="2"/>
      <c r="H371" s="2"/>
      <c r="I371" s="2"/>
    </row>
    <row r="372" spans="1:9" s="439" customFormat="1" ht="15.75" customHeight="1">
      <c r="A372" s="203"/>
      <c r="B372" s="273"/>
      <c r="C372" s="273"/>
      <c r="D372" s="273"/>
      <c r="E372" s="3"/>
      <c r="F372" s="2"/>
      <c r="G372" s="2"/>
      <c r="H372" s="2"/>
      <c r="I372" s="2"/>
    </row>
    <row r="373" spans="1:9" s="439" customFormat="1" ht="15.75" customHeight="1">
      <c r="A373" s="203"/>
      <c r="B373" s="273"/>
      <c r="C373" s="273"/>
      <c r="D373" s="273"/>
      <c r="E373" s="3"/>
      <c r="F373" s="2"/>
      <c r="G373" s="2"/>
      <c r="H373" s="2"/>
      <c r="I373" s="2"/>
    </row>
    <row r="374" spans="1:9" s="439" customFormat="1" ht="15.75" customHeight="1">
      <c r="A374" s="203"/>
      <c r="B374" s="273"/>
      <c r="C374" s="273"/>
      <c r="D374" s="273"/>
      <c r="E374" s="3"/>
      <c r="F374" s="2"/>
      <c r="G374" s="2"/>
      <c r="H374" s="2"/>
      <c r="I374" s="2"/>
    </row>
    <row r="375" spans="1:9" s="439" customFormat="1" ht="15.75" customHeight="1">
      <c r="A375" s="203"/>
      <c r="B375" s="273"/>
      <c r="C375" s="273"/>
      <c r="D375" s="273"/>
      <c r="E375" s="3"/>
      <c r="F375" s="2"/>
      <c r="G375" s="2"/>
      <c r="H375" s="2"/>
      <c r="I375" s="2"/>
    </row>
    <row r="376" spans="1:9" s="439" customFormat="1" ht="15.75" customHeight="1">
      <c r="A376" s="203"/>
      <c r="B376" s="273"/>
      <c r="C376" s="273"/>
      <c r="D376" s="273"/>
      <c r="E376" s="3"/>
      <c r="F376" s="2"/>
      <c r="G376" s="2"/>
      <c r="H376" s="2"/>
      <c r="I376" s="2"/>
    </row>
    <row r="377" spans="1:9" s="439" customFormat="1" ht="15.75" customHeight="1">
      <c r="A377" s="203"/>
      <c r="B377" s="273"/>
      <c r="C377" s="273"/>
      <c r="D377" s="273"/>
      <c r="E377" s="3"/>
      <c r="F377" s="2"/>
      <c r="G377" s="2"/>
      <c r="H377" s="2"/>
      <c r="I377" s="2"/>
    </row>
    <row r="378" spans="1:9" s="439" customFormat="1" ht="15.75" customHeight="1">
      <c r="A378" s="203"/>
      <c r="B378" s="273"/>
      <c r="C378" s="273"/>
      <c r="D378" s="273"/>
      <c r="E378" s="3"/>
      <c r="F378" s="2"/>
      <c r="G378" s="2"/>
      <c r="H378" s="2"/>
      <c r="I378" s="2"/>
    </row>
    <row r="379" spans="1:9" s="439" customFormat="1" ht="15.75" customHeight="1">
      <c r="A379" s="203"/>
      <c r="B379" s="273"/>
      <c r="C379" s="273"/>
      <c r="D379" s="273"/>
      <c r="E379" s="3"/>
      <c r="F379" s="2"/>
      <c r="G379" s="2"/>
      <c r="H379" s="2"/>
      <c r="I379" s="2"/>
    </row>
    <row r="380" spans="1:9" s="439" customFormat="1" ht="15.75" customHeight="1">
      <c r="A380" s="203"/>
      <c r="B380" s="273"/>
      <c r="C380" s="273"/>
      <c r="D380" s="273"/>
      <c r="E380" s="3"/>
      <c r="F380" s="2"/>
      <c r="G380" s="2"/>
      <c r="H380" s="2"/>
      <c r="I380" s="2"/>
    </row>
    <row r="381" spans="1:9" s="439" customFormat="1" ht="15.75" customHeight="1">
      <c r="A381" s="203"/>
      <c r="B381" s="273"/>
      <c r="C381" s="273"/>
      <c r="D381" s="273"/>
      <c r="E381" s="3"/>
      <c r="F381" s="2"/>
      <c r="G381" s="2"/>
      <c r="H381" s="2"/>
      <c r="I381" s="2"/>
    </row>
    <row r="382" spans="1:9" s="439" customFormat="1" ht="15.75" customHeight="1">
      <c r="A382" s="203"/>
      <c r="B382" s="273"/>
      <c r="C382" s="273"/>
      <c r="D382" s="273"/>
      <c r="E382" s="3"/>
      <c r="F382" s="2"/>
      <c r="G382" s="2"/>
      <c r="H382" s="2"/>
      <c r="I382" s="2"/>
    </row>
    <row r="383" spans="1:9" s="439" customFormat="1" ht="15.75" customHeight="1">
      <c r="A383" s="203"/>
      <c r="B383" s="273"/>
      <c r="C383" s="273"/>
      <c r="D383" s="273"/>
      <c r="E383" s="3"/>
      <c r="F383" s="2"/>
      <c r="G383" s="2"/>
      <c r="H383" s="2"/>
      <c r="I383" s="2"/>
    </row>
    <row r="384" spans="1:9" s="439" customFormat="1" ht="15.75" customHeight="1">
      <c r="A384" s="203"/>
      <c r="B384" s="273"/>
      <c r="C384" s="273"/>
      <c r="D384" s="273"/>
      <c r="E384" s="3"/>
      <c r="F384" s="2"/>
      <c r="G384" s="2"/>
      <c r="H384" s="2"/>
      <c r="I384" s="2"/>
    </row>
    <row r="385" spans="1:9" s="439" customFormat="1" ht="15.75" customHeight="1">
      <c r="A385" s="203"/>
      <c r="B385" s="273"/>
      <c r="C385" s="273"/>
      <c r="D385" s="273"/>
      <c r="E385" s="3"/>
      <c r="F385" s="2"/>
      <c r="G385" s="2"/>
      <c r="H385" s="2"/>
      <c r="I385" s="2"/>
    </row>
    <row r="386" spans="1:9" s="439" customFormat="1" ht="15.75" customHeight="1">
      <c r="A386" s="203"/>
      <c r="B386" s="273"/>
      <c r="C386" s="273"/>
      <c r="D386" s="273"/>
      <c r="E386" s="3"/>
      <c r="F386" s="2"/>
      <c r="G386" s="2"/>
      <c r="H386" s="2"/>
      <c r="I386" s="2"/>
    </row>
    <row r="387" spans="1:9" s="439" customFormat="1" ht="15.75" customHeight="1">
      <c r="A387" s="203"/>
      <c r="B387" s="273"/>
      <c r="C387" s="273"/>
      <c r="D387" s="273"/>
      <c r="E387" s="3"/>
      <c r="F387" s="2"/>
      <c r="G387" s="2"/>
      <c r="H387" s="2"/>
      <c r="I387" s="2"/>
    </row>
    <row r="388" spans="1:9" s="439" customFormat="1" ht="15.75" customHeight="1">
      <c r="A388" s="203"/>
      <c r="B388" s="273"/>
      <c r="C388" s="273"/>
      <c r="D388" s="273"/>
      <c r="E388" s="3"/>
      <c r="F388" s="2"/>
      <c r="G388" s="2"/>
      <c r="H388" s="2"/>
      <c r="I388" s="2"/>
    </row>
    <row r="389" spans="1:9" s="439" customFormat="1" ht="15.75" customHeight="1">
      <c r="A389" s="203"/>
      <c r="B389" s="273"/>
      <c r="C389" s="273"/>
      <c r="D389" s="273"/>
      <c r="E389" s="3"/>
      <c r="F389" s="2"/>
      <c r="G389" s="2"/>
      <c r="H389" s="2"/>
      <c r="I389" s="2"/>
    </row>
    <row r="390" spans="1:9" s="439" customFormat="1" ht="15.75" customHeight="1">
      <c r="A390" s="203"/>
      <c r="B390" s="273"/>
      <c r="C390" s="273"/>
      <c r="D390" s="273"/>
      <c r="E390" s="3"/>
      <c r="F390" s="2"/>
      <c r="G390" s="2"/>
      <c r="H390" s="2"/>
      <c r="I390" s="2"/>
    </row>
    <row r="391" spans="1:9" s="439" customFormat="1" ht="15.75" customHeight="1">
      <c r="A391" s="203"/>
      <c r="B391" s="273"/>
      <c r="C391" s="273"/>
      <c r="D391" s="273"/>
      <c r="E391" s="3"/>
      <c r="F391" s="2"/>
      <c r="G391" s="2"/>
      <c r="H391" s="2"/>
      <c r="I391" s="2"/>
    </row>
    <row r="392" spans="1:9" s="439" customFormat="1" ht="15.75" customHeight="1">
      <c r="A392" s="203"/>
      <c r="B392" s="273"/>
      <c r="C392" s="273"/>
      <c r="D392" s="273"/>
      <c r="E392" s="3"/>
      <c r="F392" s="2"/>
      <c r="G392" s="2"/>
      <c r="H392" s="2"/>
      <c r="I392" s="2"/>
    </row>
    <row r="393" spans="1:9" s="439" customFormat="1" ht="15.75" customHeight="1">
      <c r="A393" s="203"/>
      <c r="B393" s="273"/>
      <c r="C393" s="273"/>
      <c r="D393" s="273"/>
      <c r="E393" s="3"/>
      <c r="F393" s="2"/>
      <c r="G393" s="2"/>
      <c r="H393" s="2"/>
      <c r="I393" s="2"/>
    </row>
    <row r="394" spans="1:9" s="439" customFormat="1" ht="15.75" customHeight="1">
      <c r="A394" s="203"/>
      <c r="B394" s="273"/>
      <c r="C394" s="273"/>
      <c r="D394" s="273"/>
      <c r="E394" s="3"/>
      <c r="F394" s="2"/>
      <c r="G394" s="2"/>
      <c r="H394" s="2"/>
      <c r="I394" s="2"/>
    </row>
    <row r="395" spans="1:9" s="439" customFormat="1" ht="15.75" customHeight="1">
      <c r="A395" s="203"/>
      <c r="B395" s="273"/>
      <c r="C395" s="273"/>
      <c r="D395" s="273"/>
      <c r="E395" s="3"/>
      <c r="F395" s="2"/>
      <c r="G395" s="2"/>
      <c r="H395" s="2"/>
      <c r="I395" s="2"/>
    </row>
    <row r="396" spans="1:9" s="439" customFormat="1" ht="15.75" customHeight="1">
      <c r="A396" s="203"/>
      <c r="B396" s="273"/>
      <c r="C396" s="273"/>
      <c r="D396" s="273"/>
      <c r="E396" s="3"/>
      <c r="F396" s="2"/>
      <c r="G396" s="2"/>
      <c r="H396" s="2"/>
      <c r="I396" s="2"/>
    </row>
    <row r="397" spans="1:9" s="439" customFormat="1" ht="15.75" customHeight="1">
      <c r="A397" s="203"/>
      <c r="B397" s="273"/>
      <c r="C397" s="273"/>
      <c r="D397" s="273"/>
      <c r="E397" s="3"/>
      <c r="F397" s="2"/>
      <c r="G397" s="2"/>
      <c r="H397" s="2"/>
      <c r="I397" s="2"/>
    </row>
    <row r="398" spans="1:9" s="439" customFormat="1" ht="15.75" customHeight="1">
      <c r="A398" s="203"/>
      <c r="B398" s="273"/>
      <c r="C398" s="273"/>
      <c r="D398" s="273"/>
      <c r="E398" s="3"/>
      <c r="F398" s="2"/>
      <c r="G398" s="2"/>
      <c r="H398" s="2"/>
      <c r="I398" s="2"/>
    </row>
    <row r="399" spans="1:9" s="439" customFormat="1" ht="15.75" customHeight="1">
      <c r="A399" s="203"/>
      <c r="B399" s="273"/>
      <c r="C399" s="273"/>
      <c r="D399" s="273"/>
      <c r="E399" s="3"/>
      <c r="F399" s="2"/>
      <c r="G399" s="2"/>
      <c r="H399" s="2"/>
      <c r="I399" s="2"/>
    </row>
    <row r="400" spans="1:9" s="439" customFormat="1" ht="15.75" customHeight="1">
      <c r="A400" s="203"/>
      <c r="B400" s="273"/>
      <c r="C400" s="273"/>
      <c r="D400" s="273"/>
      <c r="E400" s="3"/>
      <c r="F400" s="2"/>
      <c r="G400" s="2"/>
      <c r="H400" s="2"/>
      <c r="I400" s="2"/>
    </row>
    <row r="401" spans="1:9" s="439" customFormat="1" ht="15.75" customHeight="1">
      <c r="A401" s="203"/>
      <c r="B401" s="273"/>
      <c r="C401" s="273"/>
      <c r="D401" s="273"/>
      <c r="E401" s="3"/>
      <c r="F401" s="2"/>
      <c r="G401" s="2"/>
      <c r="H401" s="2"/>
      <c r="I401" s="2"/>
    </row>
    <row r="402" spans="1:9" s="439" customFormat="1" ht="15.75" customHeight="1">
      <c r="A402" s="203"/>
      <c r="B402" s="273"/>
      <c r="C402" s="273"/>
      <c r="D402" s="273"/>
      <c r="E402" s="3"/>
      <c r="F402" s="2"/>
      <c r="G402" s="2"/>
      <c r="H402" s="2"/>
      <c r="I402" s="2"/>
    </row>
    <row r="403" spans="1:9" s="439" customFormat="1" ht="15.75" customHeight="1">
      <c r="A403" s="203"/>
      <c r="B403" s="273"/>
      <c r="C403" s="273"/>
      <c r="D403" s="273"/>
      <c r="E403" s="3"/>
      <c r="F403" s="2"/>
      <c r="G403" s="2"/>
      <c r="H403" s="2"/>
      <c r="I403" s="2"/>
    </row>
    <row r="404" spans="1:9" s="439" customFormat="1" ht="15.75" customHeight="1">
      <c r="A404" s="203"/>
      <c r="B404" s="273"/>
      <c r="C404" s="273"/>
      <c r="D404" s="273"/>
      <c r="E404" s="3"/>
      <c r="F404" s="2"/>
      <c r="G404" s="2"/>
      <c r="H404" s="2"/>
      <c r="I404" s="2"/>
    </row>
    <row r="405" spans="1:9" s="439" customFormat="1" ht="15.75" customHeight="1">
      <c r="A405" s="203"/>
      <c r="B405" s="273"/>
      <c r="C405" s="273"/>
      <c r="D405" s="273"/>
      <c r="E405" s="3"/>
      <c r="F405" s="2"/>
      <c r="G405" s="2"/>
      <c r="H405" s="2"/>
      <c r="I405" s="2"/>
    </row>
    <row r="406" spans="1:9" s="439" customFormat="1" ht="15.75" customHeight="1">
      <c r="A406" s="203"/>
      <c r="B406" s="273"/>
      <c r="C406" s="273"/>
      <c r="D406" s="273"/>
      <c r="E406" s="3"/>
      <c r="F406" s="2"/>
      <c r="G406" s="2"/>
      <c r="H406" s="2"/>
      <c r="I406" s="2"/>
    </row>
    <row r="407" spans="1:9" s="439" customFormat="1" ht="15.75" customHeight="1">
      <c r="A407" s="203"/>
      <c r="B407" s="273"/>
      <c r="C407" s="273"/>
      <c r="D407" s="273"/>
      <c r="E407" s="3"/>
      <c r="F407" s="2"/>
      <c r="G407" s="2"/>
      <c r="H407" s="2"/>
      <c r="I407" s="2"/>
    </row>
    <row r="408" spans="1:9" s="439" customFormat="1" ht="15.75" customHeight="1">
      <c r="A408" s="203"/>
      <c r="B408" s="273"/>
      <c r="C408" s="273"/>
      <c r="D408" s="273"/>
      <c r="E408" s="3"/>
      <c r="F408" s="2"/>
      <c r="G408" s="2"/>
      <c r="H408" s="2"/>
      <c r="I408" s="2"/>
    </row>
    <row r="409" spans="1:9" s="439" customFormat="1" ht="15.75" customHeight="1">
      <c r="A409" s="203"/>
      <c r="B409" s="273"/>
      <c r="C409" s="273"/>
      <c r="D409" s="273"/>
      <c r="E409" s="3"/>
      <c r="F409" s="2"/>
      <c r="G409" s="2"/>
      <c r="H409" s="2"/>
      <c r="I409" s="2"/>
    </row>
    <row r="410" spans="1:9" s="439" customFormat="1" ht="15.75" customHeight="1">
      <c r="A410" s="203"/>
      <c r="B410" s="273"/>
      <c r="C410" s="273"/>
      <c r="D410" s="273"/>
      <c r="E410" s="3"/>
      <c r="F410" s="2"/>
      <c r="G410" s="2"/>
      <c r="H410" s="2"/>
      <c r="I410" s="2"/>
    </row>
    <row r="411" spans="1:9" s="439" customFormat="1" ht="15.75" customHeight="1">
      <c r="A411" s="203"/>
      <c r="B411" s="273"/>
      <c r="C411" s="273"/>
      <c r="D411" s="273"/>
      <c r="E411" s="3"/>
      <c r="F411" s="2"/>
      <c r="G411" s="2"/>
      <c r="H411" s="2"/>
      <c r="I411" s="2"/>
    </row>
    <row r="412" spans="1:9" s="439" customFormat="1" ht="15.75" customHeight="1">
      <c r="A412" s="203"/>
      <c r="B412" s="273"/>
      <c r="C412" s="273"/>
      <c r="D412" s="273"/>
      <c r="E412" s="3"/>
      <c r="F412" s="2"/>
      <c r="G412" s="2"/>
      <c r="H412" s="2"/>
      <c r="I412" s="2"/>
    </row>
    <row r="413" spans="1:9" s="439" customFormat="1" ht="15.75" customHeight="1">
      <c r="A413" s="203"/>
      <c r="B413" s="273"/>
      <c r="C413" s="273"/>
      <c r="D413" s="273"/>
      <c r="E413" s="3"/>
      <c r="F413" s="2"/>
      <c r="G413" s="2"/>
      <c r="H413" s="2"/>
      <c r="I413" s="2"/>
    </row>
    <row r="414" spans="1:9" s="439" customFormat="1" ht="15.75" customHeight="1">
      <c r="A414" s="203"/>
      <c r="B414" s="273"/>
      <c r="C414" s="273"/>
      <c r="D414" s="273"/>
      <c r="E414" s="3"/>
      <c r="F414" s="2"/>
      <c r="G414" s="2"/>
      <c r="H414" s="2"/>
      <c r="I414" s="2"/>
    </row>
    <row r="415" spans="1:9" s="439" customFormat="1" ht="15.75" customHeight="1">
      <c r="A415" s="203"/>
      <c r="B415" s="273"/>
      <c r="C415" s="273"/>
      <c r="D415" s="273"/>
      <c r="E415" s="3"/>
      <c r="F415" s="2"/>
      <c r="G415" s="2"/>
      <c r="H415" s="2"/>
      <c r="I415" s="2"/>
    </row>
    <row r="416" spans="1:9" s="439" customFormat="1" ht="15.75" customHeight="1">
      <c r="A416" s="203"/>
      <c r="B416" s="273"/>
      <c r="C416" s="273"/>
      <c r="D416" s="273"/>
      <c r="E416" s="3"/>
      <c r="F416" s="2"/>
      <c r="G416" s="2"/>
      <c r="H416" s="2"/>
      <c r="I416" s="2"/>
    </row>
    <row r="417" spans="1:9" s="439" customFormat="1" ht="15.75" customHeight="1">
      <c r="A417" s="203"/>
      <c r="B417" s="273"/>
      <c r="C417" s="273"/>
      <c r="D417" s="273"/>
      <c r="E417" s="3"/>
      <c r="F417" s="2"/>
      <c r="G417" s="2"/>
      <c r="H417" s="2"/>
      <c r="I417" s="2"/>
    </row>
    <row r="418" spans="1:9" s="439" customFormat="1" ht="15.75" customHeight="1">
      <c r="A418" s="203"/>
      <c r="B418" s="273"/>
      <c r="C418" s="273"/>
      <c r="D418" s="273"/>
      <c r="E418" s="3"/>
      <c r="F418" s="2"/>
      <c r="G418" s="2"/>
      <c r="H418" s="2"/>
      <c r="I418" s="2"/>
    </row>
    <row r="419" spans="1:9" s="439" customFormat="1" ht="15.75" customHeight="1">
      <c r="A419" s="203"/>
      <c r="B419" s="273"/>
      <c r="C419" s="273"/>
      <c r="D419" s="273"/>
      <c r="E419" s="3"/>
      <c r="F419" s="2"/>
      <c r="G419" s="2"/>
      <c r="H419" s="2"/>
      <c r="I419" s="2"/>
    </row>
    <row r="420" spans="1:9" s="439" customFormat="1" ht="15.75" customHeight="1">
      <c r="A420" s="203"/>
      <c r="B420" s="273"/>
      <c r="C420" s="273"/>
      <c r="D420" s="273"/>
      <c r="E420" s="3"/>
      <c r="F420" s="2"/>
      <c r="G420" s="2"/>
      <c r="H420" s="2"/>
      <c r="I420" s="2"/>
    </row>
    <row r="421" spans="1:9" s="439" customFormat="1" ht="15.75" customHeight="1">
      <c r="A421" s="203"/>
      <c r="B421" s="273"/>
      <c r="C421" s="273"/>
      <c r="D421" s="273"/>
      <c r="E421" s="3"/>
      <c r="F421" s="2"/>
      <c r="G421" s="2"/>
      <c r="H421" s="2"/>
      <c r="I421" s="2"/>
    </row>
    <row r="422" spans="1:9" s="439" customFormat="1" ht="15.75" customHeight="1">
      <c r="A422" s="203"/>
      <c r="B422" s="273"/>
      <c r="C422" s="273"/>
      <c r="D422" s="273"/>
      <c r="E422" s="3"/>
      <c r="F422" s="2"/>
      <c r="G422" s="2"/>
      <c r="H422" s="2"/>
      <c r="I422" s="2"/>
    </row>
    <row r="423" spans="1:9" s="439" customFormat="1" ht="15.75" customHeight="1">
      <c r="A423" s="203"/>
      <c r="B423" s="273"/>
      <c r="C423" s="273"/>
      <c r="D423" s="273"/>
      <c r="E423" s="3"/>
      <c r="F423" s="2"/>
      <c r="G423" s="2"/>
      <c r="H423" s="2"/>
      <c r="I423" s="2"/>
    </row>
    <row r="424" spans="1:9" s="439" customFormat="1" ht="15.75" customHeight="1">
      <c r="A424" s="203"/>
      <c r="B424" s="273"/>
      <c r="C424" s="273"/>
      <c r="D424" s="273"/>
      <c r="E424" s="3"/>
      <c r="F424" s="2"/>
      <c r="G424" s="2"/>
      <c r="H424" s="2"/>
      <c r="I424" s="2"/>
    </row>
    <row r="425" spans="1:9" s="439" customFormat="1" ht="15.75" customHeight="1">
      <c r="A425" s="203"/>
      <c r="B425" s="273"/>
      <c r="C425" s="273"/>
      <c r="D425" s="273"/>
      <c r="E425" s="3"/>
      <c r="F425" s="2"/>
      <c r="G425" s="2"/>
      <c r="H425" s="2"/>
      <c r="I425" s="2"/>
    </row>
    <row r="426" spans="1:9" s="439" customFormat="1" ht="15.75" customHeight="1">
      <c r="A426" s="203"/>
      <c r="B426" s="273"/>
      <c r="C426" s="273"/>
      <c r="D426" s="273"/>
      <c r="E426" s="3"/>
      <c r="F426" s="2"/>
      <c r="G426" s="2"/>
      <c r="H426" s="2"/>
      <c r="I426" s="2"/>
    </row>
    <row r="427" spans="1:9" s="439" customFormat="1" ht="15.75" customHeight="1">
      <c r="A427" s="203"/>
      <c r="B427" s="273"/>
      <c r="C427" s="273"/>
      <c r="D427" s="273"/>
      <c r="E427" s="3"/>
      <c r="F427" s="2"/>
      <c r="G427" s="2"/>
      <c r="H427" s="2"/>
      <c r="I427" s="2"/>
    </row>
    <row r="428" spans="1:9" s="439" customFormat="1" ht="15.75" customHeight="1">
      <c r="A428" s="203"/>
      <c r="B428" s="273"/>
      <c r="C428" s="273"/>
      <c r="D428" s="273"/>
      <c r="E428" s="3"/>
      <c r="F428" s="2"/>
      <c r="G428" s="2"/>
      <c r="H428" s="2"/>
      <c r="I428" s="2"/>
    </row>
    <row r="429" spans="1:9" s="439" customFormat="1" ht="15.75" customHeight="1">
      <c r="A429" s="203"/>
      <c r="B429" s="273"/>
      <c r="C429" s="273"/>
      <c r="D429" s="273"/>
      <c r="E429" s="3"/>
      <c r="F429" s="2"/>
      <c r="G429" s="2"/>
      <c r="H429" s="2"/>
      <c r="I429" s="2"/>
    </row>
    <row r="430" spans="1:9" s="439" customFormat="1" ht="15.75" customHeight="1">
      <c r="A430" s="203"/>
      <c r="B430" s="273"/>
      <c r="C430" s="273"/>
      <c r="D430" s="273"/>
      <c r="E430" s="3"/>
      <c r="F430" s="2"/>
      <c r="G430" s="2"/>
      <c r="H430" s="2"/>
      <c r="I430" s="2"/>
    </row>
    <row r="431" spans="1:9" s="439" customFormat="1" ht="15.75" customHeight="1">
      <c r="A431" s="203"/>
      <c r="B431" s="273"/>
      <c r="C431" s="273"/>
      <c r="D431" s="273"/>
      <c r="E431" s="3"/>
      <c r="F431" s="2"/>
      <c r="G431" s="2"/>
      <c r="H431" s="2"/>
      <c r="I431" s="2"/>
    </row>
    <row r="432" spans="1:9" s="439" customFormat="1" ht="15.75" customHeight="1">
      <c r="A432" s="203"/>
      <c r="B432" s="273"/>
      <c r="C432" s="273"/>
      <c r="D432" s="273"/>
      <c r="E432" s="3"/>
      <c r="F432" s="2"/>
      <c r="G432" s="2"/>
      <c r="H432" s="2"/>
      <c r="I432" s="2"/>
    </row>
    <row r="433" spans="1:9" s="439" customFormat="1" ht="15.75" customHeight="1">
      <c r="A433" s="203"/>
      <c r="B433" s="273"/>
      <c r="C433" s="273"/>
      <c r="D433" s="273"/>
      <c r="E433" s="3"/>
      <c r="F433" s="2"/>
      <c r="G433" s="2"/>
      <c r="H433" s="2"/>
      <c r="I433" s="2"/>
    </row>
    <row r="434" spans="1:9" s="439" customFormat="1" ht="15.75" customHeight="1">
      <c r="A434" s="203"/>
      <c r="B434" s="273"/>
      <c r="C434" s="273"/>
      <c r="D434" s="273"/>
      <c r="E434" s="3"/>
      <c r="F434" s="2"/>
      <c r="G434" s="2"/>
      <c r="H434" s="2"/>
      <c r="I434" s="2"/>
    </row>
    <row r="435" spans="1:9" s="439" customFormat="1" ht="15.75" customHeight="1">
      <c r="A435" s="203"/>
      <c r="B435" s="273"/>
      <c r="C435" s="273"/>
      <c r="D435" s="273"/>
      <c r="E435" s="3"/>
      <c r="F435" s="2"/>
      <c r="G435" s="2"/>
      <c r="H435" s="2"/>
      <c r="I435" s="2"/>
    </row>
    <row r="436" spans="1:9" s="439" customFormat="1" ht="15.75" customHeight="1">
      <c r="A436" s="203"/>
      <c r="B436" s="273"/>
      <c r="C436" s="273"/>
      <c r="D436" s="273"/>
      <c r="E436" s="3"/>
      <c r="F436" s="2"/>
      <c r="G436" s="2"/>
      <c r="H436" s="2"/>
      <c r="I436" s="2"/>
    </row>
    <row r="437" spans="1:9" s="439" customFormat="1" ht="15.75" customHeight="1">
      <c r="A437" s="203"/>
      <c r="B437" s="273"/>
      <c r="C437" s="273"/>
      <c r="D437" s="273"/>
      <c r="E437" s="3"/>
      <c r="F437" s="2"/>
      <c r="G437" s="2"/>
      <c r="H437" s="2"/>
      <c r="I437" s="2"/>
    </row>
  </sheetData>
  <mergeCells count="50">
    <mergeCell ref="I155:I156"/>
    <mergeCell ref="H164:H165"/>
    <mergeCell ref="I162:I163"/>
    <mergeCell ref="H162:H163"/>
    <mergeCell ref="B169:E169"/>
    <mergeCell ref="H155:H156"/>
    <mergeCell ref="I139:I141"/>
    <mergeCell ref="I4:I6"/>
    <mergeCell ref="H4:H6"/>
    <mergeCell ref="F4:F6"/>
    <mergeCell ref="B11:E11"/>
    <mergeCell ref="B19:E19"/>
    <mergeCell ref="B33:E33"/>
    <mergeCell ref="F35:F36"/>
    <mergeCell ref="F37:F38"/>
    <mergeCell ref="G4:G6"/>
    <mergeCell ref="B103:E103"/>
    <mergeCell ref="B40:E40"/>
    <mergeCell ref="B47:E47"/>
    <mergeCell ref="B65:E65"/>
    <mergeCell ref="B67:B68"/>
    <mergeCell ref="C67:C68"/>
    <mergeCell ref="D67:D68"/>
    <mergeCell ref="B69:E69"/>
    <mergeCell ref="B74:E74"/>
    <mergeCell ref="B79:E79"/>
    <mergeCell ref="B85:E85"/>
    <mergeCell ref="B91:E91"/>
    <mergeCell ref="H139:H141"/>
    <mergeCell ref="B111:E111"/>
    <mergeCell ref="F112:F113"/>
    <mergeCell ref="B114:E114"/>
    <mergeCell ref="B128:E128"/>
    <mergeCell ref="F139:F141"/>
    <mergeCell ref="B199:E199"/>
    <mergeCell ref="B189:E189"/>
    <mergeCell ref="F155:F156"/>
    <mergeCell ref="F162:F163"/>
    <mergeCell ref="G139:G141"/>
    <mergeCell ref="B148:E148"/>
    <mergeCell ref="B152:E152"/>
    <mergeCell ref="B154:E154"/>
    <mergeCell ref="B159:E159"/>
    <mergeCell ref="F164:F165"/>
    <mergeCell ref="G164:G165"/>
    <mergeCell ref="B175:E175"/>
    <mergeCell ref="B177:E177"/>
    <mergeCell ref="B181:E181"/>
    <mergeCell ref="B183:E183"/>
    <mergeCell ref="B166:E166"/>
  </mergeCells>
  <printOptions horizontalCentered="1"/>
  <pageMargins left="0.78740157480314965" right="0.78740157480314965" top="0.78740157480314965" bottom="0.78740157480314965" header="0.39370078740157483" footer="0.39370078740157483"/>
  <pageSetup paperSize="9" scale="90" firstPageNumber="74" orientation="portrait" useFirstPageNumber="1" r:id="rId1"/>
  <headerFooter>
    <oddHeader>&amp;C&amp;"+,Tučné"II. Rozpis rozpočtu</oddHeader>
    <oddFooter>&amp;C&amp;"-,Obyčejné" &amp;P</oddFooter>
  </headerFooter>
  <rowBreaks count="3" manualBreakCount="3">
    <brk id="47" min="1" max="8" man="1"/>
    <brk id="91" min="1" max="8" man="1"/>
    <brk id="143" min="1" max="8" man="1"/>
  </rowBreaks>
  <ignoredErrors>
    <ignoredError sqref="B66:D68 H70:H73 B48:H64 D44 B7:H16 B45:H46 B44:C44 E44:H44 B70:G73 B74:G131 B187:H195 C144 B198:H199 B197 D197:H197 B18:H43 B17:D17 F17:H17 B201:H201 B200:D200 F200:H200" numberStoredAsText="1"/>
    <ignoredError sqref="F47:H47" formulaRange="1"/>
  </ignoredErrors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L285"/>
  <sheetViews>
    <sheetView zoomScaleNormal="100" workbookViewId="0">
      <selection activeCell="K12" sqref="K12"/>
    </sheetView>
  </sheetViews>
  <sheetFormatPr defaultRowHeight="15.75" customHeight="1"/>
  <cols>
    <col min="1" max="1" width="4" style="203" customWidth="1"/>
    <col min="2" max="4" width="5.7109375" style="300" customWidth="1"/>
    <col min="5" max="5" width="36.7109375" style="12" customWidth="1"/>
    <col min="6" max="6" width="9.85546875" style="274" customWidth="1"/>
    <col min="7" max="7" width="9.85546875" style="274" hidden="1" customWidth="1"/>
    <col min="8" max="8" width="9.85546875" style="274" customWidth="1"/>
    <col min="9" max="9" width="9.85546875" style="122" customWidth="1"/>
    <col min="10" max="16384" width="9.140625" style="12"/>
  </cols>
  <sheetData>
    <row r="1" spans="1:12" ht="15.75" customHeight="1">
      <c r="A1" s="4"/>
      <c r="B1" s="273"/>
      <c r="C1" s="273"/>
      <c r="D1" s="273"/>
      <c r="E1" s="3"/>
    </row>
    <row r="2" spans="1:12" ht="15.75" customHeight="1">
      <c r="A2" s="4"/>
      <c r="B2" s="273"/>
      <c r="C2" s="273"/>
      <c r="D2" s="273"/>
      <c r="E2" s="3"/>
    </row>
    <row r="3" spans="1:12" ht="15.75" customHeight="1" thickBot="1">
      <c r="A3" s="4"/>
      <c r="B3" s="273"/>
      <c r="C3" s="273"/>
      <c r="D3" s="273"/>
      <c r="E3" s="3"/>
      <c r="F3" s="97"/>
      <c r="G3" s="97"/>
      <c r="H3" s="97"/>
      <c r="I3" s="97"/>
    </row>
    <row r="4" spans="1:12" ht="15.75" customHeight="1" thickTop="1">
      <c r="A4" s="4"/>
      <c r="B4" s="41"/>
      <c r="C4" s="163"/>
      <c r="D4" s="164"/>
      <c r="E4" s="38"/>
      <c r="F4" s="1962" t="s">
        <v>44</v>
      </c>
      <c r="G4" s="1962" t="s">
        <v>43</v>
      </c>
      <c r="H4" s="1962" t="s">
        <v>1487</v>
      </c>
      <c r="I4" s="1971" t="s">
        <v>1488</v>
      </c>
    </row>
    <row r="5" spans="1:12" ht="15.75" customHeight="1">
      <c r="A5" s="4" t="s">
        <v>120</v>
      </c>
      <c r="B5" s="36" t="s">
        <v>42</v>
      </c>
      <c r="C5" s="306" t="s">
        <v>41</v>
      </c>
      <c r="D5" s="34" t="s">
        <v>40</v>
      </c>
      <c r="E5" s="33"/>
      <c r="F5" s="1963"/>
      <c r="G5" s="1963"/>
      <c r="H5" s="1963"/>
      <c r="I5" s="1972"/>
    </row>
    <row r="6" spans="1:12" ht="15.75" customHeight="1" thickBot="1">
      <c r="A6" s="4"/>
      <c r="B6" s="31"/>
      <c r="C6" s="30"/>
      <c r="D6" s="29"/>
      <c r="E6" s="28" t="s">
        <v>38</v>
      </c>
      <c r="F6" s="1964"/>
      <c r="G6" s="1964"/>
      <c r="H6" s="1964"/>
      <c r="I6" s="1973"/>
      <c r="J6" s="1"/>
      <c r="K6" s="1"/>
      <c r="L6" s="1"/>
    </row>
    <row r="7" spans="1:12" ht="15.75" customHeight="1" thickTop="1" thickBot="1">
      <c r="A7" s="4"/>
      <c r="B7" s="109">
        <v>3639</v>
      </c>
      <c r="C7" s="110">
        <v>5229</v>
      </c>
      <c r="D7" s="276">
        <v>4100</v>
      </c>
      <c r="E7" s="277" t="s">
        <v>323</v>
      </c>
      <c r="F7" s="113">
        <v>310</v>
      </c>
      <c r="G7" s="113">
        <v>310</v>
      </c>
      <c r="H7" s="113">
        <f>F7*1.1</f>
        <v>341</v>
      </c>
      <c r="I7" s="130">
        <f>G7*1.1</f>
        <v>341</v>
      </c>
    </row>
    <row r="8" spans="1:12" ht="15.75" customHeight="1" thickBot="1">
      <c r="A8" s="4"/>
      <c r="B8" s="307">
        <v>6171</v>
      </c>
      <c r="C8" s="308">
        <v>5229</v>
      </c>
      <c r="D8" s="308" t="s">
        <v>324</v>
      </c>
      <c r="E8" s="309" t="s">
        <v>325</v>
      </c>
      <c r="F8" s="114">
        <v>103</v>
      </c>
      <c r="G8" s="114">
        <v>103</v>
      </c>
      <c r="H8" s="114">
        <v>113</v>
      </c>
      <c r="I8" s="127">
        <v>113</v>
      </c>
    </row>
    <row r="9" spans="1:12" ht="15.75" customHeight="1" thickBot="1">
      <c r="A9" s="4"/>
      <c r="B9" s="80">
        <v>3322</v>
      </c>
      <c r="C9" s="61">
        <v>5229</v>
      </c>
      <c r="D9" s="60" t="s">
        <v>326</v>
      </c>
      <c r="E9" s="59" t="s">
        <v>327</v>
      </c>
      <c r="F9" s="303">
        <v>52</v>
      </c>
      <c r="G9" s="303">
        <v>52</v>
      </c>
      <c r="H9" s="303">
        <v>57</v>
      </c>
      <c r="I9" s="278">
        <v>57</v>
      </c>
    </row>
    <row r="10" spans="1:12" ht="15.75" customHeight="1" thickBot="1">
      <c r="A10" s="4"/>
      <c r="B10" s="279" t="s">
        <v>328</v>
      </c>
      <c r="C10" s="280">
        <v>5229</v>
      </c>
      <c r="D10" s="281" t="s">
        <v>329</v>
      </c>
      <c r="E10" s="282" t="s">
        <v>330</v>
      </c>
      <c r="F10" s="310">
        <v>80</v>
      </c>
      <c r="G10" s="310">
        <f>80+7</f>
        <v>87</v>
      </c>
      <c r="H10" s="310">
        <v>87</v>
      </c>
      <c r="I10" s="304">
        <v>87</v>
      </c>
    </row>
    <row r="11" spans="1:12" ht="15.75" customHeight="1" thickBot="1">
      <c r="A11" s="4"/>
      <c r="B11" s="333">
        <v>3329</v>
      </c>
      <c r="C11" s="334">
        <v>5511</v>
      </c>
      <c r="D11" s="335" t="s">
        <v>331</v>
      </c>
      <c r="E11" s="336" t="s">
        <v>333</v>
      </c>
      <c r="F11" s="315">
        <v>0</v>
      </c>
      <c r="G11" s="315">
        <v>0</v>
      </c>
      <c r="H11" s="315">
        <v>410</v>
      </c>
      <c r="I11" s="304">
        <v>410</v>
      </c>
    </row>
    <row r="12" spans="1:12" ht="15.75" customHeight="1" thickBot="1">
      <c r="A12" s="4"/>
      <c r="B12" s="311">
        <v>3329</v>
      </c>
      <c r="C12" s="312">
        <v>5329</v>
      </c>
      <c r="D12" s="313" t="s">
        <v>331</v>
      </c>
      <c r="E12" s="314" t="s">
        <v>332</v>
      </c>
      <c r="F12" s="315">
        <v>256</v>
      </c>
      <c r="G12" s="315">
        <f>256+151.782</f>
        <v>407.78200000000004</v>
      </c>
      <c r="H12" s="315">
        <v>400</v>
      </c>
      <c r="I12" s="304">
        <v>400</v>
      </c>
    </row>
    <row r="13" spans="1:12" ht="15.75" customHeight="1" thickBot="1">
      <c r="A13" s="4"/>
      <c r="B13" s="80">
        <v>3699</v>
      </c>
      <c r="C13" s="60">
        <v>5229</v>
      </c>
      <c r="D13" s="61" t="s">
        <v>331</v>
      </c>
      <c r="E13" s="283" t="s">
        <v>361</v>
      </c>
      <c r="F13" s="319">
        <v>500</v>
      </c>
      <c r="G13" s="319">
        <v>500</v>
      </c>
      <c r="H13" s="319">
        <v>500</v>
      </c>
      <c r="I13" s="305">
        <v>500</v>
      </c>
    </row>
    <row r="14" spans="1:12" ht="15.75" customHeight="1" thickBot="1">
      <c r="A14" s="4">
        <v>501</v>
      </c>
      <c r="B14" s="1960" t="s">
        <v>334</v>
      </c>
      <c r="C14" s="1961"/>
      <c r="D14" s="1961"/>
      <c r="E14" s="1961"/>
      <c r="F14" s="88">
        <f>SUM(F7:F13)</f>
        <v>1301</v>
      </c>
      <c r="G14" s="88">
        <f>SUM(G7:G13)</f>
        <v>1459.7820000000002</v>
      </c>
      <c r="H14" s="88">
        <f>SUM(H7:H13)</f>
        <v>1908</v>
      </c>
      <c r="I14" s="1362">
        <f>SUM(I7:I13)</f>
        <v>1908</v>
      </c>
    </row>
    <row r="15" spans="1:12" ht="15.75" customHeight="1" thickTop="1" thickBot="1">
      <c r="A15" s="4"/>
      <c r="B15" s="316" t="s">
        <v>192</v>
      </c>
      <c r="C15" s="317">
        <v>5362</v>
      </c>
      <c r="D15" s="230" t="s">
        <v>331</v>
      </c>
      <c r="E15" s="318" t="s">
        <v>335</v>
      </c>
      <c r="F15" s="319">
        <v>100</v>
      </c>
      <c r="G15" s="319">
        <v>100</v>
      </c>
      <c r="H15" s="319">
        <v>100</v>
      </c>
      <c r="I15" s="1363">
        <v>100</v>
      </c>
    </row>
    <row r="16" spans="1:12" ht="15.75" customHeight="1" thickBot="1">
      <c r="A16" s="4"/>
      <c r="B16" s="80">
        <v>6399</v>
      </c>
      <c r="C16" s="60">
        <v>5362</v>
      </c>
      <c r="D16" s="61">
        <v>4100</v>
      </c>
      <c r="E16" s="59" t="s">
        <v>336</v>
      </c>
      <c r="F16" s="319">
        <v>9111</v>
      </c>
      <c r="G16" s="319">
        <f>9111+41125.19</f>
        <v>50236.19</v>
      </c>
      <c r="H16" s="319">
        <v>50000</v>
      </c>
      <c r="I16" s="1363">
        <v>50000</v>
      </c>
    </row>
    <row r="17" spans="1:9" ht="15.75" customHeight="1" thickBot="1">
      <c r="A17" s="4"/>
      <c r="B17" s="80">
        <v>6330</v>
      </c>
      <c r="C17" s="75">
        <v>5341</v>
      </c>
      <c r="D17" s="74" t="s">
        <v>337</v>
      </c>
      <c r="E17" s="73" t="s">
        <v>338</v>
      </c>
      <c r="F17" s="320">
        <v>0</v>
      </c>
      <c r="G17" s="320">
        <f>985.52281+933.94145+107.75961+459.48168+663.4881+159.28503+1671.54763+414.8374</f>
        <v>5395.8637100000005</v>
      </c>
      <c r="H17" s="320">
        <v>0</v>
      </c>
      <c r="I17" s="1364">
        <v>0</v>
      </c>
    </row>
    <row r="18" spans="1:9" ht="15.75" customHeight="1" thickBot="1">
      <c r="A18" s="4">
        <v>502</v>
      </c>
      <c r="B18" s="1960" t="s">
        <v>339</v>
      </c>
      <c r="C18" s="1961"/>
      <c r="D18" s="1961"/>
      <c r="E18" s="1961"/>
      <c r="F18" s="88">
        <f>SUM(F15:F17)</f>
        <v>9211</v>
      </c>
      <c r="G18" s="88">
        <f>SUM(G15:G17)</f>
        <v>55732.05371</v>
      </c>
      <c r="H18" s="88">
        <f>SUM(H15:H17)</f>
        <v>50100</v>
      </c>
      <c r="I18" s="1362">
        <f>SUM(I15:I17)</f>
        <v>50100</v>
      </c>
    </row>
    <row r="19" spans="1:9" ht="15.75" hidden="1" customHeight="1" thickTop="1" thickBot="1">
      <c r="A19" s="4"/>
      <c r="B19" s="80">
        <v>6171</v>
      </c>
      <c r="C19" s="60">
        <v>5137</v>
      </c>
      <c r="D19" s="61">
        <v>4100</v>
      </c>
      <c r="E19" s="59" t="s">
        <v>340</v>
      </c>
      <c r="F19" s="319">
        <v>0</v>
      </c>
      <c r="G19" s="319">
        <v>15</v>
      </c>
      <c r="H19" s="319">
        <v>0</v>
      </c>
      <c r="I19" s="1363">
        <v>0</v>
      </c>
    </row>
    <row r="20" spans="1:9" ht="15.75" customHeight="1" thickTop="1" thickBot="1">
      <c r="A20" s="4"/>
      <c r="B20" s="80">
        <v>6171</v>
      </c>
      <c r="C20" s="60">
        <v>5139</v>
      </c>
      <c r="D20" s="230">
        <v>4100</v>
      </c>
      <c r="E20" s="59" t="s">
        <v>156</v>
      </c>
      <c r="F20" s="319">
        <v>0</v>
      </c>
      <c r="G20" s="319">
        <v>70</v>
      </c>
      <c r="H20" s="319">
        <v>70</v>
      </c>
      <c r="I20" s="1363">
        <v>70</v>
      </c>
    </row>
    <row r="21" spans="1:9" ht="15.75" customHeight="1" thickBot="1">
      <c r="A21" s="4"/>
      <c r="B21" s="316">
        <v>6171</v>
      </c>
      <c r="C21" s="317">
        <v>5161</v>
      </c>
      <c r="D21" s="230">
        <v>4100</v>
      </c>
      <c r="E21" s="318" t="s">
        <v>341</v>
      </c>
      <c r="F21" s="321">
        <v>3</v>
      </c>
      <c r="G21" s="321">
        <v>3</v>
      </c>
      <c r="H21" s="321">
        <v>3</v>
      </c>
      <c r="I21" s="1365">
        <v>3</v>
      </c>
    </row>
    <row r="22" spans="1:9" ht="15.75" customHeight="1" thickBot="1">
      <c r="A22" s="4"/>
      <c r="B22" s="80">
        <v>6310</v>
      </c>
      <c r="C22" s="60">
        <v>5163</v>
      </c>
      <c r="D22" s="61">
        <v>4100</v>
      </c>
      <c r="E22" s="59" t="s">
        <v>342</v>
      </c>
      <c r="F22" s="319">
        <v>750</v>
      </c>
      <c r="G22" s="319">
        <v>750</v>
      </c>
      <c r="H22" s="319">
        <v>1000</v>
      </c>
      <c r="I22" s="1363">
        <v>1000</v>
      </c>
    </row>
    <row r="23" spans="1:9" ht="15.75" customHeight="1" thickBot="1">
      <c r="A23" s="4"/>
      <c r="B23" s="80">
        <v>6171</v>
      </c>
      <c r="C23" s="60">
        <v>5164</v>
      </c>
      <c r="D23" s="61" t="s">
        <v>331</v>
      </c>
      <c r="E23" s="59" t="s">
        <v>343</v>
      </c>
      <c r="F23" s="319">
        <v>11</v>
      </c>
      <c r="G23" s="319">
        <v>11</v>
      </c>
      <c r="H23" s="319">
        <v>11</v>
      </c>
      <c r="I23" s="1363">
        <v>11</v>
      </c>
    </row>
    <row r="24" spans="1:9" ht="15.75" customHeight="1" thickBot="1">
      <c r="A24" s="4"/>
      <c r="B24" s="80">
        <v>6171</v>
      </c>
      <c r="C24" s="60">
        <v>5166</v>
      </c>
      <c r="D24" s="61" t="s">
        <v>331</v>
      </c>
      <c r="E24" s="59" t="s">
        <v>344</v>
      </c>
      <c r="F24" s="319">
        <v>100</v>
      </c>
      <c r="G24" s="319">
        <v>100</v>
      </c>
      <c r="H24" s="319">
        <v>150</v>
      </c>
      <c r="I24" s="1363">
        <v>150</v>
      </c>
    </row>
    <row r="25" spans="1:9" ht="15.75" customHeight="1" thickBot="1">
      <c r="A25" s="4"/>
      <c r="B25" s="80">
        <v>6171</v>
      </c>
      <c r="C25" s="60">
        <v>5169</v>
      </c>
      <c r="D25" s="61">
        <v>4100</v>
      </c>
      <c r="E25" s="59" t="s">
        <v>55</v>
      </c>
      <c r="F25" s="319">
        <v>300</v>
      </c>
      <c r="G25" s="319">
        <f>300+4</f>
        <v>304</v>
      </c>
      <c r="H25" s="319">
        <v>300</v>
      </c>
      <c r="I25" s="1363">
        <v>300</v>
      </c>
    </row>
    <row r="26" spans="1:9" ht="15.75" hidden="1" customHeight="1" thickBot="1">
      <c r="A26" s="4"/>
      <c r="B26" s="80">
        <v>3612</v>
      </c>
      <c r="C26" s="60">
        <v>5192</v>
      </c>
      <c r="D26" s="61" t="s">
        <v>345</v>
      </c>
      <c r="E26" s="59" t="s">
        <v>346</v>
      </c>
      <c r="F26" s="319">
        <v>0</v>
      </c>
      <c r="G26" s="319">
        <v>30.628</v>
      </c>
      <c r="H26" s="319">
        <v>0</v>
      </c>
      <c r="I26" s="1363">
        <v>0</v>
      </c>
    </row>
    <row r="27" spans="1:9" ht="15.75" hidden="1" customHeight="1" thickBot="1">
      <c r="A27" s="4"/>
      <c r="B27" s="80">
        <v>6171</v>
      </c>
      <c r="C27" s="60">
        <v>5363</v>
      </c>
      <c r="D27" s="61" t="s">
        <v>331</v>
      </c>
      <c r="E27" s="283" t="s">
        <v>347</v>
      </c>
      <c r="F27" s="319">
        <v>0</v>
      </c>
      <c r="G27" s="319">
        <v>500</v>
      </c>
      <c r="H27" s="319">
        <v>0</v>
      </c>
      <c r="I27" s="1363">
        <v>0</v>
      </c>
    </row>
    <row r="28" spans="1:9" ht="15.75" customHeight="1" thickBot="1">
      <c r="A28" s="4"/>
      <c r="B28" s="80">
        <v>6409</v>
      </c>
      <c r="C28" s="60">
        <v>5909</v>
      </c>
      <c r="D28" s="61">
        <v>4100</v>
      </c>
      <c r="E28" s="59" t="s">
        <v>348</v>
      </c>
      <c r="F28" s="319">
        <v>3725</v>
      </c>
      <c r="G28" s="319">
        <f>3725-383.74005-7-30.628</f>
        <v>3303.63195</v>
      </c>
      <c r="H28" s="319">
        <v>8920</v>
      </c>
      <c r="I28" s="1363">
        <v>8920</v>
      </c>
    </row>
    <row r="29" spans="1:9" ht="15.75" customHeight="1" thickBot="1">
      <c r="A29" s="4"/>
      <c r="B29" s="76">
        <v>6402</v>
      </c>
      <c r="C29" s="75">
        <v>5364</v>
      </c>
      <c r="D29" s="74">
        <v>4100</v>
      </c>
      <c r="E29" s="73" t="s">
        <v>349</v>
      </c>
      <c r="F29" s="320">
        <v>3500</v>
      </c>
      <c r="G29" s="320">
        <v>3500</v>
      </c>
      <c r="H29" s="320">
        <v>3000</v>
      </c>
      <c r="I29" s="1364">
        <v>3000</v>
      </c>
    </row>
    <row r="30" spans="1:9" ht="15.75" customHeight="1" thickBot="1">
      <c r="A30" s="4"/>
      <c r="B30" s="76">
        <v>3429</v>
      </c>
      <c r="C30" s="75">
        <v>5141</v>
      </c>
      <c r="D30" s="74" t="s">
        <v>331</v>
      </c>
      <c r="E30" s="73" t="s">
        <v>350</v>
      </c>
      <c r="F30" s="320">
        <v>12000</v>
      </c>
      <c r="G30" s="320">
        <v>12000</v>
      </c>
      <c r="H30" s="320">
        <v>12000</v>
      </c>
      <c r="I30" s="1364">
        <v>12000</v>
      </c>
    </row>
    <row r="31" spans="1:9" ht="15.75" customHeight="1" thickBot="1">
      <c r="A31" s="4">
        <v>503</v>
      </c>
      <c r="B31" s="1960" t="s">
        <v>351</v>
      </c>
      <c r="C31" s="1961"/>
      <c r="D31" s="1961"/>
      <c r="E31" s="1961"/>
      <c r="F31" s="88">
        <f>SUM(F19:F30)</f>
        <v>20389</v>
      </c>
      <c r="G31" s="88">
        <f>SUM(G19:G30)</f>
        <v>20587.25995</v>
      </c>
      <c r="H31" s="88">
        <f>SUM(H19:H30)</f>
        <v>25454</v>
      </c>
      <c r="I31" s="1362">
        <f>SUM(I19:I30)</f>
        <v>25454</v>
      </c>
    </row>
    <row r="32" spans="1:9" ht="15.75" customHeight="1" thickTop="1" thickBot="1">
      <c r="A32" s="4"/>
      <c r="B32" s="322">
        <v>3113</v>
      </c>
      <c r="C32" s="323">
        <v>5651</v>
      </c>
      <c r="D32" s="830" t="s">
        <v>331</v>
      </c>
      <c r="E32" s="324" t="s">
        <v>352</v>
      </c>
      <c r="F32" s="325">
        <v>0</v>
      </c>
      <c r="G32" s="325">
        <v>250</v>
      </c>
      <c r="H32" s="325">
        <v>0</v>
      </c>
      <c r="I32" s="49">
        <v>0</v>
      </c>
    </row>
    <row r="33" spans="1:9" ht="15.75" customHeight="1" thickBot="1">
      <c r="A33" s="4">
        <v>506</v>
      </c>
      <c r="B33" s="322">
        <v>6171</v>
      </c>
      <c r="C33" s="323">
        <v>5901</v>
      </c>
      <c r="D33" s="830" t="s">
        <v>331</v>
      </c>
      <c r="E33" s="324" t="s">
        <v>353</v>
      </c>
      <c r="F33" s="325">
        <v>2000</v>
      </c>
      <c r="G33" s="325">
        <f>2000-100-100-300</f>
        <v>1500</v>
      </c>
      <c r="H33" s="325">
        <v>2000</v>
      </c>
      <c r="I33" s="1366">
        <v>2000</v>
      </c>
    </row>
    <row r="34" spans="1:9" s="286" customFormat="1" ht="15.75" customHeight="1" thickBot="1">
      <c r="A34" s="23">
        <v>520</v>
      </c>
      <c r="B34" s="326">
        <v>6171</v>
      </c>
      <c r="C34" s="327">
        <v>5166</v>
      </c>
      <c r="D34" s="261" t="s">
        <v>331</v>
      </c>
      <c r="E34" s="328" t="s">
        <v>354</v>
      </c>
      <c r="F34" s="88">
        <v>100</v>
      </c>
      <c r="G34" s="88">
        <v>100</v>
      </c>
      <c r="H34" s="88">
        <v>100</v>
      </c>
      <c r="I34" s="1362">
        <v>100</v>
      </c>
    </row>
    <row r="35" spans="1:9" s="286" customFormat="1" ht="16.5" hidden="1" customHeight="1" thickTop="1" thickBot="1">
      <c r="A35" s="23">
        <v>518</v>
      </c>
      <c r="B35" s="287">
        <v>3526</v>
      </c>
      <c r="C35" s="288">
        <v>5213</v>
      </c>
      <c r="D35" s="288">
        <v>4100</v>
      </c>
      <c r="E35" s="289" t="s">
        <v>355</v>
      </c>
      <c r="F35" s="54">
        <v>0</v>
      </c>
      <c r="G35" s="54">
        <v>0</v>
      </c>
      <c r="H35" s="54"/>
      <c r="I35" s="54"/>
    </row>
    <row r="36" spans="1:9" s="286" customFormat="1" ht="6" customHeight="1" thickTop="1" thickBot="1">
      <c r="A36" s="23"/>
      <c r="B36" s="22"/>
      <c r="C36" s="22"/>
      <c r="D36" s="21"/>
      <c r="E36" s="290"/>
      <c r="F36" s="291"/>
      <c r="G36" s="291"/>
      <c r="H36" s="291"/>
      <c r="I36" s="774"/>
    </row>
    <row r="37" spans="1:9" s="16" customFormat="1" ht="15.75" customHeight="1" thickTop="1" thickBot="1">
      <c r="A37" s="151"/>
      <c r="B37" s="292"/>
      <c r="C37" s="292"/>
      <c r="D37" s="292"/>
      <c r="E37" s="15" t="s">
        <v>30</v>
      </c>
      <c r="F37" s="120">
        <f>SUM(F14,F18,F31:F34)</f>
        <v>33001</v>
      </c>
      <c r="G37" s="120">
        <f>SUM(G14,G18,G31:G34)</f>
        <v>79629.095659999992</v>
      </c>
      <c r="H37" s="120">
        <f>SUM(H14,H18,H31:H34)</f>
        <v>79562</v>
      </c>
      <c r="I37" s="121">
        <f>SUM(I14,I18,I31:I34)</f>
        <v>79562</v>
      </c>
    </row>
    <row r="38" spans="1:9" s="16" customFormat="1" ht="15.75" customHeight="1" thickTop="1">
      <c r="A38" s="151"/>
      <c r="B38" s="292"/>
      <c r="C38" s="292"/>
      <c r="D38" s="292"/>
      <c r="E38" s="43"/>
      <c r="F38" s="294"/>
      <c r="G38" s="294"/>
      <c r="H38" s="294"/>
      <c r="I38" s="293"/>
    </row>
    <row r="39" spans="1:9" s="16" customFormat="1" ht="15.75" customHeight="1">
      <c r="A39" s="151"/>
      <c r="B39" s="292"/>
      <c r="C39" s="292"/>
      <c r="D39" s="292"/>
      <c r="E39" s="43"/>
      <c r="F39" s="294"/>
      <c r="G39" s="294"/>
      <c r="H39" s="294"/>
      <c r="I39" s="293"/>
    </row>
    <row r="40" spans="1:9" s="16" customFormat="1" ht="15.75" customHeight="1">
      <c r="A40" s="151"/>
      <c r="B40" s="292"/>
      <c r="C40" s="292"/>
      <c r="D40" s="292"/>
      <c r="E40" s="43"/>
      <c r="F40" s="294"/>
      <c r="G40" s="294"/>
      <c r="H40" s="294"/>
      <c r="I40" s="293"/>
    </row>
    <row r="41" spans="1:9" s="16" customFormat="1" ht="15.75" customHeight="1" thickBot="1">
      <c r="A41" s="151"/>
      <c r="B41" s="292"/>
      <c r="C41" s="292"/>
      <c r="D41" s="292"/>
      <c r="E41" s="43"/>
      <c r="F41" s="294"/>
      <c r="G41" s="294"/>
      <c r="H41" s="294"/>
      <c r="I41" s="293"/>
    </row>
    <row r="42" spans="1:9" s="16" customFormat="1" ht="15.75" customHeight="1" thickTop="1">
      <c r="A42" s="151"/>
      <c r="B42" s="41"/>
      <c r="C42" s="163"/>
      <c r="D42" s="164"/>
      <c r="E42" s="38"/>
      <c r="F42" s="1962" t="s">
        <v>44</v>
      </c>
      <c r="G42" s="1962" t="s">
        <v>43</v>
      </c>
      <c r="H42" s="1962" t="s">
        <v>1487</v>
      </c>
      <c r="I42" s="1971" t="s">
        <v>1488</v>
      </c>
    </row>
    <row r="43" spans="1:9" s="16" customFormat="1" ht="15.75" customHeight="1">
      <c r="A43" s="151"/>
      <c r="B43" s="36" t="s">
        <v>42</v>
      </c>
      <c r="C43" s="35" t="s">
        <v>41</v>
      </c>
      <c r="D43" s="34" t="s">
        <v>40</v>
      </c>
      <c r="E43" s="33"/>
      <c r="F43" s="1963"/>
      <c r="G43" s="1963"/>
      <c r="H43" s="1963"/>
      <c r="I43" s="1972"/>
    </row>
    <row r="44" spans="1:9" s="16" customFormat="1" ht="15.75" customHeight="1" thickBot="1">
      <c r="A44" s="151"/>
      <c r="B44" s="31"/>
      <c r="C44" s="30"/>
      <c r="D44" s="29"/>
      <c r="E44" s="28" t="s">
        <v>38</v>
      </c>
      <c r="F44" s="1964"/>
      <c r="G44" s="1964"/>
      <c r="H44" s="1964"/>
      <c r="I44" s="1973"/>
    </row>
    <row r="45" spans="1:9" s="16" customFormat="1" ht="42" customHeight="1" thickTop="1" thickBot="1">
      <c r="A45" s="151"/>
      <c r="B45" s="846" t="s">
        <v>357</v>
      </c>
      <c r="C45" s="847" t="s">
        <v>358</v>
      </c>
      <c r="D45" s="847" t="s">
        <v>399</v>
      </c>
      <c r="E45" s="848" t="s">
        <v>1182</v>
      </c>
      <c r="F45" s="849" t="s">
        <v>1184</v>
      </c>
      <c r="G45" s="849" t="s">
        <v>1184</v>
      </c>
      <c r="H45" s="849">
        <v>9480.51</v>
      </c>
      <c r="I45" s="1357">
        <v>9480.51</v>
      </c>
    </row>
    <row r="46" spans="1:9" s="16" customFormat="1" ht="41.25" customHeight="1" thickBot="1">
      <c r="A46" s="151"/>
      <c r="B46" s="850" t="s">
        <v>402</v>
      </c>
      <c r="C46" s="851" t="s">
        <v>358</v>
      </c>
      <c r="D46" s="851" t="s">
        <v>403</v>
      </c>
      <c r="E46" s="852" t="s">
        <v>1183</v>
      </c>
      <c r="F46" s="853" t="s">
        <v>1184</v>
      </c>
      <c r="G46" s="853" t="s">
        <v>1184</v>
      </c>
      <c r="H46" s="853">
        <v>7480</v>
      </c>
      <c r="I46" s="1358">
        <v>7480</v>
      </c>
    </row>
    <row r="47" spans="1:9" ht="24.75" hidden="1" customHeight="1" thickBot="1">
      <c r="A47" s="4"/>
      <c r="B47" s="842">
        <v>6171</v>
      </c>
      <c r="C47" s="843">
        <v>6122</v>
      </c>
      <c r="D47" s="844" t="s">
        <v>331</v>
      </c>
      <c r="E47" s="845" t="s">
        <v>356</v>
      </c>
      <c r="F47" s="560">
        <v>0</v>
      </c>
      <c r="G47" s="560">
        <f>200-89</f>
        <v>111</v>
      </c>
      <c r="H47" s="560">
        <v>0</v>
      </c>
      <c r="I47" s="1359">
        <v>0</v>
      </c>
    </row>
    <row r="48" spans="1:9" s="16" customFormat="1" ht="29.25" customHeight="1" thickBot="1">
      <c r="A48" s="209">
        <v>613</v>
      </c>
      <c r="B48" s="260" t="s">
        <v>357</v>
      </c>
      <c r="C48" s="261" t="s">
        <v>358</v>
      </c>
      <c r="D48" s="261" t="s">
        <v>331</v>
      </c>
      <c r="E48" s="840" t="s">
        <v>359</v>
      </c>
      <c r="F48" s="841">
        <v>9000</v>
      </c>
      <c r="G48" s="841">
        <f>9000+3065.3807</f>
        <v>12065.3807</v>
      </c>
      <c r="H48" s="841">
        <v>0</v>
      </c>
      <c r="I48" s="1356">
        <v>0</v>
      </c>
    </row>
    <row r="49" spans="1:9" s="16" customFormat="1" ht="6" customHeight="1" thickTop="1" thickBot="1">
      <c r="A49" s="151"/>
      <c r="B49" s="295"/>
      <c r="C49" s="295"/>
      <c r="D49" s="295"/>
      <c r="E49" s="296"/>
      <c r="F49" s="297"/>
      <c r="G49" s="297"/>
      <c r="H49" s="297"/>
      <c r="I49" s="297"/>
    </row>
    <row r="50" spans="1:9" s="16" customFormat="1" ht="15.75" customHeight="1" thickTop="1" thickBot="1">
      <c r="A50" s="151"/>
      <c r="B50" s="292"/>
      <c r="C50" s="292"/>
      <c r="D50" s="292"/>
      <c r="E50" s="15" t="s">
        <v>32</v>
      </c>
      <c r="F50" s="298">
        <f>SUM(F45:F48)</f>
        <v>9000</v>
      </c>
      <c r="G50" s="298">
        <f t="shared" ref="G50" si="0">SUM(G45:G48)</f>
        <v>12176.3807</v>
      </c>
      <c r="H50" s="298">
        <f>SUM(H45:H48)</f>
        <v>16960.510000000002</v>
      </c>
      <c r="I50" s="1360">
        <f>SUM(I45:I48)</f>
        <v>16960.510000000002</v>
      </c>
    </row>
    <row r="51" spans="1:9" s="16" customFormat="1" ht="7.5" customHeight="1" thickTop="1" thickBot="1">
      <c r="A51" s="151"/>
      <c r="B51" s="292"/>
      <c r="C51" s="292"/>
      <c r="D51" s="292"/>
      <c r="E51" s="43"/>
      <c r="F51" s="293"/>
      <c r="G51" s="293"/>
      <c r="H51" s="293"/>
      <c r="I51" s="293"/>
    </row>
    <row r="52" spans="1:9" s="155" customFormat="1" ht="15.75" customHeight="1" thickTop="1" thickBot="1">
      <c r="A52" s="10"/>
      <c r="B52" s="331"/>
      <c r="C52" s="332"/>
      <c r="D52" s="332"/>
      <c r="E52" s="8" t="s">
        <v>360</v>
      </c>
      <c r="F52" s="299">
        <f>SUM(F37,F50)</f>
        <v>42001</v>
      </c>
      <c r="G52" s="299">
        <f>SUM(G37,G50)</f>
        <v>91805.476359999986</v>
      </c>
      <c r="H52" s="299">
        <f>SUM(H37,H50)</f>
        <v>96522.510000000009</v>
      </c>
      <c r="I52" s="1361">
        <f>SUM(I37,I50)</f>
        <v>96522.510000000009</v>
      </c>
    </row>
    <row r="53" spans="1:9" ht="15.75" customHeight="1" thickTop="1">
      <c r="A53" s="10"/>
    </row>
    <row r="54" spans="1:9" ht="15.75" customHeight="1">
      <c r="B54" s="2068"/>
      <c r="C54" s="2068"/>
      <c r="D54" s="2068"/>
      <c r="E54" s="3"/>
      <c r="F54" s="275"/>
      <c r="G54" s="275"/>
      <c r="H54" s="275"/>
    </row>
    <row r="55" spans="1:9" ht="15.75" customHeight="1">
      <c r="B55" s="2067"/>
      <c r="C55" s="2067"/>
      <c r="D55" s="2067"/>
      <c r="E55" s="302"/>
      <c r="F55" s="275"/>
      <c r="G55" s="275"/>
      <c r="H55" s="275"/>
    </row>
    <row r="56" spans="1:9" ht="15.75" customHeight="1">
      <c r="B56" s="273"/>
      <c r="C56" s="273"/>
      <c r="D56" s="273"/>
      <c r="E56" s="3"/>
      <c r="F56" s="301"/>
      <c r="G56" s="301"/>
      <c r="H56" s="301"/>
      <c r="I56" s="2"/>
    </row>
    <row r="57" spans="1:9" ht="15.75" customHeight="1">
      <c r="B57" s="273"/>
      <c r="C57" s="273"/>
      <c r="D57" s="273"/>
      <c r="E57" s="3"/>
      <c r="F57" s="301"/>
      <c r="G57" s="301"/>
      <c r="H57" s="301"/>
      <c r="I57" s="2"/>
    </row>
    <row r="58" spans="1:9" ht="15.75" customHeight="1">
      <c r="B58" s="273"/>
      <c r="C58" s="273"/>
      <c r="D58" s="273"/>
      <c r="E58" s="3"/>
      <c r="F58" s="301"/>
      <c r="G58" s="301"/>
      <c r="H58" s="301"/>
      <c r="I58" s="2"/>
    </row>
    <row r="59" spans="1:9" ht="15.75" customHeight="1">
      <c r="B59" s="273"/>
      <c r="C59" s="273"/>
      <c r="D59" s="273"/>
      <c r="E59" s="3"/>
      <c r="F59" s="301"/>
      <c r="G59" s="301"/>
      <c r="H59" s="301"/>
      <c r="I59" s="2"/>
    </row>
    <row r="60" spans="1:9" ht="15.75" customHeight="1">
      <c r="B60" s="273"/>
      <c r="C60" s="273"/>
      <c r="D60" s="273"/>
      <c r="E60" s="3"/>
      <c r="F60" s="301"/>
      <c r="G60" s="301"/>
      <c r="H60" s="301"/>
      <c r="I60" s="2"/>
    </row>
    <row r="61" spans="1:9" ht="15.75" customHeight="1">
      <c r="B61" s="273"/>
      <c r="C61" s="273"/>
      <c r="D61" s="273"/>
      <c r="E61" s="3"/>
      <c r="F61" s="301"/>
      <c r="G61" s="301"/>
      <c r="H61" s="301"/>
      <c r="I61" s="2"/>
    </row>
    <row r="62" spans="1:9" ht="15.75" customHeight="1">
      <c r="B62" s="273"/>
      <c r="C62" s="273"/>
      <c r="D62" s="273"/>
      <c r="E62" s="3"/>
      <c r="F62" s="301"/>
      <c r="G62" s="301"/>
      <c r="H62" s="301"/>
      <c r="I62" s="2"/>
    </row>
    <row r="63" spans="1:9" ht="15.75" customHeight="1">
      <c r="B63" s="273"/>
      <c r="C63" s="273"/>
      <c r="D63" s="273"/>
      <c r="E63" s="3"/>
      <c r="F63" s="301"/>
      <c r="G63" s="301"/>
      <c r="H63" s="301"/>
      <c r="I63" s="2"/>
    </row>
    <row r="64" spans="1:9" ht="15.75" customHeight="1">
      <c r="B64" s="273"/>
      <c r="C64" s="273"/>
      <c r="D64" s="273"/>
      <c r="E64" s="3"/>
      <c r="F64" s="301"/>
      <c r="G64" s="301"/>
      <c r="H64" s="301"/>
      <c r="I64" s="2"/>
    </row>
    <row r="65" spans="2:9" ht="15.75" customHeight="1">
      <c r="B65" s="273"/>
      <c r="C65" s="273"/>
      <c r="D65" s="273"/>
      <c r="E65" s="3"/>
      <c r="F65" s="301"/>
      <c r="G65" s="301"/>
      <c r="H65" s="301"/>
      <c r="I65" s="2"/>
    </row>
    <row r="66" spans="2:9" ht="15.75" customHeight="1">
      <c r="B66" s="273"/>
      <c r="C66" s="273"/>
      <c r="D66" s="273"/>
      <c r="E66" s="3"/>
      <c r="F66" s="301"/>
      <c r="G66" s="301"/>
      <c r="H66" s="301"/>
      <c r="I66" s="2"/>
    </row>
    <row r="67" spans="2:9" ht="15.75" customHeight="1">
      <c r="B67" s="273"/>
      <c r="C67" s="273"/>
      <c r="D67" s="273"/>
      <c r="E67" s="3"/>
      <c r="F67" s="301"/>
      <c r="G67" s="301"/>
      <c r="H67" s="301"/>
      <c r="I67" s="2"/>
    </row>
    <row r="68" spans="2:9" ht="15.75" customHeight="1">
      <c r="B68" s="273"/>
      <c r="C68" s="273"/>
      <c r="D68" s="273"/>
      <c r="E68" s="3"/>
      <c r="F68" s="301"/>
      <c r="G68" s="301"/>
      <c r="H68" s="301"/>
      <c r="I68" s="2"/>
    </row>
    <row r="69" spans="2:9" ht="15.75" customHeight="1">
      <c r="B69" s="273"/>
      <c r="C69" s="273"/>
      <c r="D69" s="273"/>
      <c r="E69" s="3"/>
      <c r="F69" s="301"/>
      <c r="G69" s="301"/>
      <c r="H69" s="301"/>
      <c r="I69" s="2"/>
    </row>
    <row r="70" spans="2:9" ht="15.75" customHeight="1">
      <c r="B70" s="273"/>
      <c r="C70" s="273"/>
      <c r="D70" s="273"/>
      <c r="E70" s="3"/>
      <c r="F70" s="301"/>
      <c r="G70" s="301"/>
      <c r="H70" s="301"/>
      <c r="I70" s="2"/>
    </row>
    <row r="71" spans="2:9" ht="15.75" customHeight="1">
      <c r="B71" s="273"/>
      <c r="C71" s="273"/>
      <c r="D71" s="273"/>
      <c r="E71" s="3"/>
      <c r="F71" s="301"/>
      <c r="G71" s="301"/>
      <c r="H71" s="301"/>
      <c r="I71" s="2"/>
    </row>
    <row r="72" spans="2:9" ht="15.75" customHeight="1">
      <c r="B72" s="273"/>
      <c r="C72" s="273"/>
      <c r="D72" s="273"/>
      <c r="E72" s="3"/>
      <c r="F72" s="301"/>
      <c r="G72" s="301"/>
      <c r="H72" s="301"/>
      <c r="I72" s="2"/>
    </row>
    <row r="73" spans="2:9" ht="15.75" customHeight="1">
      <c r="B73" s="273"/>
      <c r="C73" s="273"/>
      <c r="D73" s="273"/>
      <c r="E73" s="3"/>
      <c r="F73" s="301"/>
      <c r="G73" s="301"/>
      <c r="H73" s="301"/>
      <c r="I73" s="2"/>
    </row>
    <row r="74" spans="2:9" ht="15.75" customHeight="1">
      <c r="B74" s="273"/>
      <c r="C74" s="273"/>
      <c r="D74" s="273"/>
      <c r="E74" s="3"/>
      <c r="F74" s="301"/>
      <c r="G74" s="301"/>
      <c r="H74" s="301"/>
      <c r="I74" s="2"/>
    </row>
    <row r="75" spans="2:9" ht="15.75" customHeight="1">
      <c r="B75" s="273"/>
      <c r="C75" s="273"/>
      <c r="D75" s="273"/>
      <c r="E75" s="3"/>
      <c r="F75" s="301"/>
      <c r="G75" s="301"/>
      <c r="H75" s="301"/>
      <c r="I75" s="2"/>
    </row>
    <row r="76" spans="2:9" ht="15.75" customHeight="1">
      <c r="B76" s="273"/>
      <c r="C76" s="273"/>
      <c r="D76" s="273"/>
      <c r="E76" s="3"/>
      <c r="F76" s="301"/>
      <c r="G76" s="301"/>
      <c r="H76" s="301"/>
      <c r="I76" s="2"/>
    </row>
    <row r="77" spans="2:9" ht="15.75" customHeight="1">
      <c r="B77" s="273"/>
      <c r="C77" s="273"/>
      <c r="D77" s="273"/>
      <c r="E77" s="3"/>
      <c r="F77" s="301"/>
      <c r="G77" s="301"/>
      <c r="H77" s="301"/>
      <c r="I77" s="2"/>
    </row>
    <row r="78" spans="2:9" ht="15.75" customHeight="1">
      <c r="B78" s="273"/>
      <c r="C78" s="273"/>
      <c r="D78" s="273"/>
      <c r="E78" s="3"/>
      <c r="F78" s="301"/>
      <c r="G78" s="301"/>
      <c r="H78" s="301"/>
      <c r="I78" s="2"/>
    </row>
    <row r="79" spans="2:9" ht="15.75" customHeight="1">
      <c r="B79" s="273"/>
      <c r="C79" s="273"/>
      <c r="D79" s="273"/>
      <c r="E79" s="3"/>
      <c r="F79" s="301"/>
      <c r="G79" s="301"/>
      <c r="H79" s="301"/>
      <c r="I79" s="2"/>
    </row>
    <row r="80" spans="2:9" ht="15.75" customHeight="1">
      <c r="B80" s="273"/>
      <c r="C80" s="273"/>
      <c r="D80" s="273"/>
      <c r="E80" s="3"/>
      <c r="F80" s="301"/>
      <c r="G80" s="301"/>
      <c r="H80" s="301"/>
      <c r="I80" s="2"/>
    </row>
    <row r="81" spans="2:9" ht="15.75" customHeight="1">
      <c r="B81" s="273"/>
      <c r="C81" s="273"/>
      <c r="D81" s="273"/>
      <c r="E81" s="3"/>
      <c r="F81" s="301"/>
      <c r="G81" s="301"/>
      <c r="H81" s="301"/>
      <c r="I81" s="2"/>
    </row>
    <row r="82" spans="2:9" ht="15.75" customHeight="1">
      <c r="B82" s="273"/>
      <c r="C82" s="273"/>
      <c r="D82" s="273"/>
      <c r="E82" s="3"/>
      <c r="F82" s="301"/>
      <c r="G82" s="301"/>
      <c r="H82" s="301"/>
      <c r="I82" s="2"/>
    </row>
    <row r="83" spans="2:9" ht="15.75" customHeight="1">
      <c r="B83" s="273"/>
      <c r="C83" s="273"/>
      <c r="D83" s="273"/>
      <c r="E83" s="3"/>
      <c r="F83" s="301"/>
      <c r="G83" s="301"/>
      <c r="H83" s="301"/>
      <c r="I83" s="2"/>
    </row>
    <row r="84" spans="2:9" ht="15.75" customHeight="1">
      <c r="B84" s="273"/>
      <c r="C84" s="273"/>
      <c r="D84" s="273"/>
      <c r="E84" s="3"/>
      <c r="F84" s="301"/>
      <c r="G84" s="301"/>
      <c r="H84" s="301"/>
      <c r="I84" s="2"/>
    </row>
    <row r="85" spans="2:9" ht="15.75" customHeight="1">
      <c r="B85" s="273"/>
      <c r="C85" s="273"/>
      <c r="D85" s="273"/>
      <c r="E85" s="3"/>
      <c r="F85" s="301"/>
      <c r="G85" s="301"/>
      <c r="H85" s="301"/>
      <c r="I85" s="2"/>
    </row>
    <row r="86" spans="2:9" ht="15.75" customHeight="1">
      <c r="B86" s="273"/>
      <c r="C86" s="273"/>
      <c r="D86" s="273"/>
      <c r="E86" s="3"/>
      <c r="F86" s="301"/>
      <c r="G86" s="301"/>
      <c r="H86" s="301"/>
      <c r="I86" s="2"/>
    </row>
    <row r="87" spans="2:9" ht="15.75" customHeight="1">
      <c r="B87" s="273"/>
      <c r="C87" s="273"/>
      <c r="D87" s="273"/>
      <c r="E87" s="3"/>
      <c r="F87" s="301"/>
      <c r="G87" s="301"/>
      <c r="H87" s="301"/>
      <c r="I87" s="2"/>
    </row>
    <row r="88" spans="2:9" ht="15.75" customHeight="1">
      <c r="B88" s="273"/>
      <c r="C88" s="273"/>
      <c r="D88" s="273"/>
      <c r="E88" s="3"/>
      <c r="F88" s="301"/>
      <c r="G88" s="301"/>
      <c r="H88" s="301"/>
      <c r="I88" s="2"/>
    </row>
    <row r="89" spans="2:9" ht="15.75" customHeight="1">
      <c r="B89" s="273"/>
      <c r="C89" s="273"/>
      <c r="D89" s="273"/>
      <c r="E89" s="3"/>
      <c r="F89" s="301"/>
      <c r="G89" s="301"/>
      <c r="H89" s="301"/>
      <c r="I89" s="2"/>
    </row>
    <row r="90" spans="2:9" ht="15.75" customHeight="1">
      <c r="B90" s="273"/>
      <c r="C90" s="273"/>
      <c r="D90" s="273"/>
      <c r="E90" s="3"/>
      <c r="F90" s="301"/>
      <c r="G90" s="301"/>
      <c r="H90" s="301"/>
      <c r="I90" s="2"/>
    </row>
    <row r="91" spans="2:9" ht="15.75" customHeight="1">
      <c r="B91" s="273"/>
      <c r="C91" s="273"/>
      <c r="D91" s="273"/>
      <c r="E91" s="3"/>
      <c r="F91" s="301"/>
      <c r="G91" s="301"/>
      <c r="H91" s="301"/>
      <c r="I91" s="2"/>
    </row>
    <row r="92" spans="2:9" ht="15.75" customHeight="1">
      <c r="B92" s="273"/>
      <c r="C92" s="273"/>
      <c r="D92" s="273"/>
      <c r="E92" s="3"/>
      <c r="F92" s="301"/>
      <c r="G92" s="301"/>
      <c r="H92" s="301"/>
      <c r="I92" s="2"/>
    </row>
    <row r="93" spans="2:9" ht="15.75" customHeight="1">
      <c r="B93" s="273"/>
      <c r="C93" s="273"/>
      <c r="D93" s="273"/>
      <c r="E93" s="3"/>
      <c r="F93" s="301"/>
      <c r="G93" s="301"/>
      <c r="H93" s="301"/>
      <c r="I93" s="2"/>
    </row>
    <row r="94" spans="2:9" ht="15.75" customHeight="1">
      <c r="B94" s="273"/>
      <c r="C94" s="273"/>
      <c r="D94" s="273"/>
      <c r="E94" s="3"/>
      <c r="F94" s="301"/>
      <c r="G94" s="301"/>
      <c r="H94" s="301"/>
      <c r="I94" s="2"/>
    </row>
    <row r="95" spans="2:9" ht="15.75" customHeight="1">
      <c r="B95" s="273"/>
      <c r="C95" s="273"/>
      <c r="D95" s="273"/>
      <c r="E95" s="3"/>
      <c r="F95" s="301"/>
      <c r="G95" s="301"/>
      <c r="H95" s="301"/>
      <c r="I95" s="2"/>
    </row>
    <row r="96" spans="2:9" ht="15.75" customHeight="1">
      <c r="B96" s="273"/>
      <c r="C96" s="273"/>
      <c r="D96" s="273"/>
      <c r="E96" s="3"/>
      <c r="F96" s="301"/>
      <c r="G96" s="301"/>
      <c r="H96" s="301"/>
      <c r="I96" s="2"/>
    </row>
    <row r="97" spans="2:9" ht="15.75" customHeight="1">
      <c r="B97" s="273"/>
      <c r="C97" s="273"/>
      <c r="D97" s="273"/>
      <c r="E97" s="3"/>
      <c r="F97" s="301"/>
      <c r="G97" s="301"/>
      <c r="H97" s="301"/>
      <c r="I97" s="2"/>
    </row>
    <row r="98" spans="2:9" ht="15.75" customHeight="1">
      <c r="B98" s="273"/>
      <c r="C98" s="273"/>
      <c r="D98" s="273"/>
      <c r="E98" s="3"/>
      <c r="F98" s="301"/>
      <c r="G98" s="301"/>
      <c r="H98" s="301"/>
      <c r="I98" s="2"/>
    </row>
    <row r="99" spans="2:9" ht="15.75" customHeight="1">
      <c r="B99" s="273"/>
      <c r="C99" s="273"/>
      <c r="D99" s="273"/>
      <c r="E99" s="3"/>
      <c r="F99" s="301"/>
      <c r="G99" s="301"/>
      <c r="H99" s="301"/>
      <c r="I99" s="2"/>
    </row>
    <row r="100" spans="2:9" ht="15.75" customHeight="1">
      <c r="B100" s="273"/>
      <c r="C100" s="273"/>
      <c r="D100" s="273"/>
      <c r="E100" s="3"/>
      <c r="F100" s="301"/>
      <c r="G100" s="301"/>
      <c r="H100" s="301"/>
      <c r="I100" s="2"/>
    </row>
    <row r="101" spans="2:9" ht="15.75" customHeight="1">
      <c r="B101" s="273"/>
      <c r="C101" s="273"/>
      <c r="D101" s="273"/>
      <c r="E101" s="3"/>
      <c r="F101" s="301"/>
      <c r="G101" s="301"/>
      <c r="H101" s="301"/>
      <c r="I101" s="2"/>
    </row>
    <row r="102" spans="2:9" ht="15.75" customHeight="1">
      <c r="B102" s="273"/>
      <c r="C102" s="273"/>
      <c r="D102" s="273"/>
      <c r="E102" s="3"/>
      <c r="F102" s="301"/>
      <c r="G102" s="301"/>
      <c r="H102" s="301"/>
      <c r="I102" s="2"/>
    </row>
    <row r="103" spans="2:9" ht="15.75" customHeight="1">
      <c r="B103" s="273"/>
      <c r="C103" s="273"/>
      <c r="D103" s="273"/>
      <c r="E103" s="3"/>
      <c r="F103" s="301"/>
      <c r="G103" s="301"/>
      <c r="H103" s="301"/>
      <c r="I103" s="2"/>
    </row>
    <row r="104" spans="2:9" ht="15.75" customHeight="1">
      <c r="B104" s="273"/>
      <c r="C104" s="273"/>
      <c r="D104" s="273"/>
      <c r="E104" s="3"/>
      <c r="F104" s="301"/>
      <c r="G104" s="301"/>
      <c r="H104" s="301"/>
      <c r="I104" s="2"/>
    </row>
    <row r="105" spans="2:9" ht="15.75" customHeight="1">
      <c r="B105" s="273"/>
      <c r="C105" s="273"/>
      <c r="D105" s="273"/>
      <c r="E105" s="3"/>
      <c r="F105" s="301"/>
      <c r="G105" s="301"/>
      <c r="H105" s="301"/>
      <c r="I105" s="2"/>
    </row>
    <row r="106" spans="2:9" ht="15.75" customHeight="1">
      <c r="B106" s="273"/>
      <c r="C106" s="273"/>
      <c r="D106" s="273"/>
      <c r="E106" s="3"/>
      <c r="F106" s="301"/>
      <c r="G106" s="301"/>
      <c r="H106" s="301"/>
      <c r="I106" s="2"/>
    </row>
    <row r="107" spans="2:9" ht="15.75" customHeight="1">
      <c r="B107" s="273"/>
      <c r="C107" s="273"/>
      <c r="D107" s="273"/>
      <c r="E107" s="3"/>
      <c r="F107" s="301"/>
      <c r="G107" s="301"/>
      <c r="H107" s="301"/>
      <c r="I107" s="2"/>
    </row>
    <row r="108" spans="2:9" ht="15.75" customHeight="1">
      <c r="B108" s="273"/>
      <c r="C108" s="273"/>
      <c r="D108" s="273"/>
      <c r="E108" s="3"/>
      <c r="F108" s="301"/>
      <c r="G108" s="301"/>
      <c r="H108" s="301"/>
      <c r="I108" s="2"/>
    </row>
    <row r="109" spans="2:9" ht="15.75" customHeight="1">
      <c r="B109" s="273"/>
      <c r="C109" s="273"/>
      <c r="D109" s="273"/>
      <c r="E109" s="3"/>
      <c r="F109" s="301"/>
      <c r="G109" s="301"/>
      <c r="H109" s="301"/>
      <c r="I109" s="2"/>
    </row>
    <row r="110" spans="2:9" ht="15.75" customHeight="1">
      <c r="B110" s="273"/>
      <c r="C110" s="273"/>
      <c r="D110" s="273"/>
      <c r="E110" s="3"/>
      <c r="F110" s="301"/>
      <c r="G110" s="301"/>
      <c r="H110" s="301"/>
      <c r="I110" s="2"/>
    </row>
    <row r="111" spans="2:9" ht="15.75" customHeight="1">
      <c r="B111" s="273"/>
      <c r="C111" s="273"/>
      <c r="D111" s="273"/>
      <c r="E111" s="3"/>
      <c r="F111" s="301"/>
      <c r="G111" s="301"/>
      <c r="H111" s="301"/>
      <c r="I111" s="2"/>
    </row>
    <row r="112" spans="2:9" ht="15.75" customHeight="1">
      <c r="B112" s="273"/>
      <c r="C112" s="273"/>
      <c r="D112" s="273"/>
      <c r="E112" s="3"/>
      <c r="F112" s="301"/>
      <c r="G112" s="301"/>
      <c r="H112" s="301"/>
      <c r="I112" s="2"/>
    </row>
    <row r="113" spans="2:9" ht="15.75" customHeight="1">
      <c r="B113" s="273"/>
      <c r="C113" s="273"/>
      <c r="D113" s="273"/>
      <c r="E113" s="3"/>
      <c r="F113" s="301"/>
      <c r="G113" s="301"/>
      <c r="H113" s="301"/>
      <c r="I113" s="2"/>
    </row>
    <row r="114" spans="2:9" ht="15.75" customHeight="1">
      <c r="B114" s="273"/>
      <c r="C114" s="273"/>
      <c r="D114" s="273"/>
      <c r="E114" s="3"/>
      <c r="F114" s="301"/>
      <c r="G114" s="301"/>
      <c r="H114" s="301"/>
      <c r="I114" s="2"/>
    </row>
    <row r="115" spans="2:9" ht="15.75" customHeight="1">
      <c r="B115" s="273"/>
      <c r="C115" s="273"/>
      <c r="D115" s="273"/>
      <c r="E115" s="3"/>
      <c r="F115" s="301"/>
      <c r="G115" s="301"/>
      <c r="H115" s="301"/>
      <c r="I115" s="2"/>
    </row>
    <row r="116" spans="2:9" ht="15.75" customHeight="1">
      <c r="B116" s="273"/>
      <c r="C116" s="273"/>
      <c r="D116" s="273"/>
      <c r="E116" s="3"/>
      <c r="F116" s="301"/>
      <c r="G116" s="301"/>
      <c r="H116" s="301"/>
      <c r="I116" s="2"/>
    </row>
    <row r="117" spans="2:9" ht="15.75" customHeight="1">
      <c r="B117" s="273"/>
      <c r="C117" s="273"/>
      <c r="D117" s="273"/>
      <c r="E117" s="3"/>
      <c r="F117" s="301"/>
      <c r="G117" s="301"/>
      <c r="H117" s="301"/>
      <c r="I117" s="2"/>
    </row>
    <row r="118" spans="2:9" ht="15.75" customHeight="1">
      <c r="B118" s="273"/>
      <c r="C118" s="273"/>
      <c r="D118" s="273"/>
      <c r="E118" s="3"/>
      <c r="F118" s="301"/>
      <c r="G118" s="301"/>
      <c r="H118" s="301"/>
      <c r="I118" s="2"/>
    </row>
    <row r="119" spans="2:9" ht="15.75" customHeight="1">
      <c r="B119" s="273"/>
      <c r="C119" s="273"/>
      <c r="D119" s="273"/>
      <c r="E119" s="3"/>
      <c r="F119" s="301"/>
      <c r="G119" s="301"/>
      <c r="H119" s="301"/>
      <c r="I119" s="2"/>
    </row>
    <row r="120" spans="2:9" ht="15.75" customHeight="1">
      <c r="B120" s="273"/>
      <c r="C120" s="273"/>
      <c r="D120" s="273"/>
      <c r="E120" s="3"/>
      <c r="F120" s="301"/>
      <c r="G120" s="301"/>
      <c r="H120" s="301"/>
      <c r="I120" s="2"/>
    </row>
    <row r="121" spans="2:9" ht="15.75" customHeight="1">
      <c r="B121" s="273"/>
      <c r="C121" s="273"/>
      <c r="D121" s="273"/>
      <c r="E121" s="3"/>
      <c r="F121" s="301"/>
      <c r="G121" s="301"/>
      <c r="H121" s="301"/>
      <c r="I121" s="2"/>
    </row>
    <row r="122" spans="2:9" ht="15.75" customHeight="1">
      <c r="B122" s="273"/>
      <c r="C122" s="273"/>
      <c r="D122" s="273"/>
      <c r="E122" s="3"/>
      <c r="F122" s="301"/>
      <c r="G122" s="301"/>
      <c r="H122" s="301"/>
      <c r="I122" s="2"/>
    </row>
    <row r="123" spans="2:9" ht="15.75" customHeight="1">
      <c r="B123" s="273"/>
      <c r="C123" s="273"/>
      <c r="D123" s="273"/>
      <c r="E123" s="3"/>
      <c r="F123" s="301"/>
      <c r="G123" s="301"/>
      <c r="H123" s="301"/>
      <c r="I123" s="2"/>
    </row>
    <row r="124" spans="2:9" ht="15.75" customHeight="1">
      <c r="B124" s="273"/>
      <c r="C124" s="273"/>
      <c r="D124" s="273"/>
      <c r="E124" s="3"/>
      <c r="F124" s="301"/>
      <c r="G124" s="301"/>
      <c r="H124" s="301"/>
      <c r="I124" s="2"/>
    </row>
    <row r="125" spans="2:9" ht="15.75" customHeight="1">
      <c r="B125" s="273"/>
      <c r="C125" s="273"/>
      <c r="D125" s="273"/>
      <c r="E125" s="3"/>
      <c r="F125" s="301"/>
      <c r="G125" s="301"/>
      <c r="H125" s="301"/>
      <c r="I125" s="2"/>
    </row>
    <row r="126" spans="2:9" ht="15.75" customHeight="1">
      <c r="B126" s="273"/>
      <c r="C126" s="273"/>
      <c r="D126" s="273"/>
      <c r="E126" s="3"/>
      <c r="F126" s="301"/>
      <c r="G126" s="301"/>
      <c r="H126" s="301"/>
      <c r="I126" s="2"/>
    </row>
    <row r="127" spans="2:9" ht="15.75" customHeight="1">
      <c r="B127" s="273"/>
      <c r="C127" s="273"/>
      <c r="D127" s="273"/>
      <c r="E127" s="3"/>
      <c r="F127" s="301"/>
      <c r="G127" s="301"/>
      <c r="H127" s="301"/>
      <c r="I127" s="2"/>
    </row>
    <row r="128" spans="2:9" ht="15.75" customHeight="1">
      <c r="B128" s="273"/>
      <c r="C128" s="273"/>
      <c r="D128" s="273"/>
      <c r="E128" s="3"/>
      <c r="F128" s="301"/>
      <c r="G128" s="301"/>
      <c r="H128" s="301"/>
      <c r="I128" s="2"/>
    </row>
    <row r="129" spans="2:9" ht="15.75" customHeight="1">
      <c r="B129" s="273"/>
      <c r="C129" s="273"/>
      <c r="D129" s="273"/>
      <c r="E129" s="3"/>
      <c r="F129" s="301"/>
      <c r="G129" s="301"/>
      <c r="H129" s="301"/>
      <c r="I129" s="2"/>
    </row>
    <row r="130" spans="2:9" ht="15.75" customHeight="1">
      <c r="B130" s="273"/>
      <c r="C130" s="273"/>
      <c r="D130" s="273"/>
      <c r="E130" s="3"/>
      <c r="F130" s="301"/>
      <c r="G130" s="301"/>
      <c r="H130" s="301"/>
      <c r="I130" s="2"/>
    </row>
    <row r="131" spans="2:9" ht="15.75" customHeight="1">
      <c r="B131" s="273"/>
      <c r="C131" s="273"/>
      <c r="D131" s="273"/>
      <c r="E131" s="3"/>
      <c r="F131" s="301"/>
      <c r="G131" s="301"/>
      <c r="H131" s="301"/>
      <c r="I131" s="2"/>
    </row>
    <row r="132" spans="2:9" ht="15.75" customHeight="1">
      <c r="B132" s="273"/>
      <c r="C132" s="273"/>
      <c r="D132" s="273"/>
      <c r="E132" s="3"/>
      <c r="F132" s="301"/>
      <c r="G132" s="301"/>
      <c r="H132" s="301"/>
      <c r="I132" s="2"/>
    </row>
    <row r="133" spans="2:9" ht="15.75" customHeight="1">
      <c r="B133" s="273"/>
      <c r="C133" s="273"/>
      <c r="D133" s="273"/>
      <c r="E133" s="3"/>
      <c r="F133" s="301"/>
      <c r="G133" s="301"/>
      <c r="H133" s="301"/>
      <c r="I133" s="2"/>
    </row>
    <row r="134" spans="2:9" ht="15.75" customHeight="1">
      <c r="B134" s="273"/>
      <c r="C134" s="273"/>
      <c r="D134" s="273"/>
      <c r="E134" s="3"/>
      <c r="F134" s="301"/>
      <c r="G134" s="301"/>
      <c r="H134" s="301"/>
      <c r="I134" s="2"/>
    </row>
    <row r="135" spans="2:9" ht="15.75" customHeight="1">
      <c r="B135" s="273"/>
      <c r="C135" s="273"/>
      <c r="D135" s="273"/>
      <c r="E135" s="3"/>
      <c r="F135" s="301"/>
      <c r="G135" s="301"/>
      <c r="H135" s="301"/>
      <c r="I135" s="2"/>
    </row>
    <row r="136" spans="2:9" ht="15.75" customHeight="1">
      <c r="B136" s="273"/>
      <c r="C136" s="273"/>
      <c r="D136" s="273"/>
      <c r="E136" s="3"/>
      <c r="F136" s="301"/>
      <c r="G136" s="301"/>
      <c r="H136" s="301"/>
      <c r="I136" s="2"/>
    </row>
    <row r="137" spans="2:9" ht="15.75" customHeight="1">
      <c r="B137" s="273"/>
      <c r="C137" s="273"/>
      <c r="D137" s="273"/>
      <c r="E137" s="3"/>
      <c r="F137" s="301"/>
      <c r="G137" s="301"/>
      <c r="H137" s="301"/>
      <c r="I137" s="2"/>
    </row>
    <row r="138" spans="2:9" ht="15.75" customHeight="1">
      <c r="B138" s="273"/>
      <c r="C138" s="273"/>
      <c r="D138" s="273"/>
      <c r="E138" s="3"/>
      <c r="F138" s="301"/>
      <c r="G138" s="301"/>
      <c r="H138" s="301"/>
      <c r="I138" s="2"/>
    </row>
    <row r="139" spans="2:9" ht="15.75" customHeight="1">
      <c r="B139" s="273"/>
      <c r="C139" s="273"/>
      <c r="D139" s="273"/>
      <c r="E139" s="3"/>
      <c r="F139" s="301"/>
      <c r="G139" s="301"/>
      <c r="H139" s="301"/>
      <c r="I139" s="2"/>
    </row>
    <row r="140" spans="2:9" ht="15.75" customHeight="1">
      <c r="B140" s="273"/>
      <c r="C140" s="273"/>
      <c r="D140" s="273"/>
      <c r="E140" s="3"/>
      <c r="F140" s="301"/>
      <c r="G140" s="301"/>
      <c r="H140" s="301"/>
      <c r="I140" s="2"/>
    </row>
    <row r="141" spans="2:9" ht="15.75" customHeight="1">
      <c r="B141" s="273"/>
      <c r="C141" s="273"/>
      <c r="D141" s="273"/>
      <c r="E141" s="3"/>
      <c r="F141" s="301"/>
      <c r="G141" s="301"/>
      <c r="H141" s="301"/>
      <c r="I141" s="2"/>
    </row>
    <row r="142" spans="2:9" ht="15.75" customHeight="1">
      <c r="B142" s="273"/>
      <c r="C142" s="273"/>
      <c r="D142" s="273"/>
      <c r="E142" s="3"/>
      <c r="F142" s="301"/>
      <c r="G142" s="301"/>
      <c r="H142" s="301"/>
      <c r="I142" s="2"/>
    </row>
    <row r="143" spans="2:9" ht="15.75" customHeight="1">
      <c r="B143" s="273"/>
      <c r="C143" s="273"/>
      <c r="D143" s="273"/>
      <c r="E143" s="3"/>
      <c r="F143" s="301"/>
      <c r="G143" s="301"/>
      <c r="H143" s="301"/>
      <c r="I143" s="2"/>
    </row>
    <row r="144" spans="2:9" ht="15.75" customHeight="1">
      <c r="B144" s="273"/>
      <c r="C144" s="273"/>
      <c r="D144" s="273"/>
      <c r="E144" s="3"/>
      <c r="F144" s="301"/>
      <c r="G144" s="301"/>
      <c r="H144" s="301"/>
      <c r="I144" s="2"/>
    </row>
    <row r="145" spans="2:9" ht="15.75" customHeight="1">
      <c r="B145" s="273"/>
      <c r="C145" s="273"/>
      <c r="D145" s="273"/>
      <c r="E145" s="3"/>
      <c r="F145" s="301"/>
      <c r="G145" s="301"/>
      <c r="H145" s="301"/>
      <c r="I145" s="2"/>
    </row>
    <row r="146" spans="2:9" ht="15.75" customHeight="1">
      <c r="B146" s="273"/>
      <c r="C146" s="273"/>
      <c r="D146" s="273"/>
      <c r="E146" s="3"/>
      <c r="F146" s="301"/>
      <c r="G146" s="301"/>
      <c r="H146" s="301"/>
      <c r="I146" s="2"/>
    </row>
    <row r="147" spans="2:9" ht="15.75" customHeight="1">
      <c r="B147" s="273"/>
      <c r="C147" s="273"/>
      <c r="D147" s="273"/>
      <c r="E147" s="3"/>
      <c r="F147" s="301"/>
      <c r="G147" s="301"/>
      <c r="H147" s="301"/>
      <c r="I147" s="2"/>
    </row>
    <row r="148" spans="2:9" ht="15.75" customHeight="1">
      <c r="B148" s="273"/>
      <c r="C148" s="273"/>
      <c r="D148" s="273"/>
      <c r="E148" s="3"/>
      <c r="F148" s="301"/>
      <c r="G148" s="301"/>
      <c r="H148" s="301"/>
      <c r="I148" s="2"/>
    </row>
    <row r="149" spans="2:9" ht="15.75" customHeight="1">
      <c r="B149" s="273"/>
      <c r="C149" s="273"/>
      <c r="D149" s="273"/>
      <c r="E149" s="3"/>
      <c r="F149" s="301"/>
      <c r="G149" s="301"/>
      <c r="H149" s="301"/>
      <c r="I149" s="2"/>
    </row>
    <row r="150" spans="2:9" ht="15.75" customHeight="1">
      <c r="B150" s="273"/>
      <c r="C150" s="273"/>
      <c r="D150" s="273"/>
      <c r="E150" s="3"/>
      <c r="F150" s="301"/>
      <c r="G150" s="301"/>
      <c r="H150" s="301"/>
      <c r="I150" s="2"/>
    </row>
    <row r="151" spans="2:9" ht="15.75" customHeight="1">
      <c r="B151" s="273"/>
      <c r="C151" s="273"/>
      <c r="D151" s="273"/>
      <c r="E151" s="3"/>
      <c r="F151" s="301"/>
      <c r="G151" s="301"/>
      <c r="H151" s="301"/>
      <c r="I151" s="2"/>
    </row>
    <row r="152" spans="2:9" ht="15.75" customHeight="1">
      <c r="B152" s="273"/>
      <c r="C152" s="273"/>
      <c r="D152" s="273"/>
      <c r="E152" s="3"/>
      <c r="F152" s="301"/>
      <c r="G152" s="301"/>
      <c r="H152" s="301"/>
      <c r="I152" s="2"/>
    </row>
    <row r="153" spans="2:9" ht="15.75" customHeight="1">
      <c r="B153" s="273"/>
      <c r="C153" s="273"/>
      <c r="D153" s="273"/>
      <c r="E153" s="3"/>
      <c r="F153" s="301"/>
      <c r="G153" s="301"/>
      <c r="H153" s="301"/>
      <c r="I153" s="2"/>
    </row>
    <row r="154" spans="2:9" ht="15.75" customHeight="1">
      <c r="B154" s="273"/>
      <c r="C154" s="273"/>
      <c r="D154" s="273"/>
      <c r="E154" s="3"/>
      <c r="F154" s="301"/>
      <c r="G154" s="301"/>
      <c r="H154" s="301"/>
      <c r="I154" s="2"/>
    </row>
    <row r="155" spans="2:9" ht="15.75" customHeight="1">
      <c r="B155" s="273"/>
      <c r="C155" s="273"/>
      <c r="D155" s="273"/>
      <c r="E155" s="3"/>
      <c r="F155" s="301"/>
      <c r="G155" s="301"/>
      <c r="H155" s="301"/>
      <c r="I155" s="2"/>
    </row>
    <row r="156" spans="2:9" ht="15.75" customHeight="1">
      <c r="B156" s="273"/>
      <c r="C156" s="273"/>
      <c r="D156" s="273"/>
      <c r="E156" s="3"/>
      <c r="F156" s="301"/>
      <c r="G156" s="301"/>
      <c r="H156" s="301"/>
      <c r="I156" s="2"/>
    </row>
    <row r="157" spans="2:9" ht="15.75" customHeight="1">
      <c r="B157" s="273"/>
      <c r="C157" s="273"/>
      <c r="D157" s="273"/>
      <c r="E157" s="3"/>
      <c r="F157" s="301"/>
      <c r="G157" s="301"/>
      <c r="H157" s="301"/>
      <c r="I157" s="2"/>
    </row>
    <row r="158" spans="2:9" ht="15.75" customHeight="1">
      <c r="B158" s="273"/>
      <c r="C158" s="273"/>
      <c r="D158" s="273"/>
      <c r="E158" s="3"/>
      <c r="F158" s="301"/>
      <c r="G158" s="301"/>
      <c r="H158" s="301"/>
      <c r="I158" s="2"/>
    </row>
    <row r="159" spans="2:9" ht="15.75" customHeight="1">
      <c r="B159" s="273"/>
      <c r="C159" s="273"/>
      <c r="D159" s="273"/>
      <c r="E159" s="3"/>
      <c r="F159" s="301"/>
      <c r="G159" s="301"/>
      <c r="H159" s="301"/>
      <c r="I159" s="2"/>
    </row>
    <row r="160" spans="2:9" ht="15.75" customHeight="1">
      <c r="B160" s="273"/>
      <c r="C160" s="273"/>
      <c r="D160" s="273"/>
      <c r="E160" s="3"/>
      <c r="F160" s="301"/>
      <c r="G160" s="301"/>
      <c r="H160" s="301"/>
      <c r="I160" s="2"/>
    </row>
    <row r="161" spans="2:9" ht="15.75" customHeight="1">
      <c r="B161" s="273"/>
      <c r="C161" s="273"/>
      <c r="D161" s="273"/>
      <c r="E161" s="3"/>
      <c r="F161" s="301"/>
      <c r="G161" s="301"/>
      <c r="H161" s="301"/>
      <c r="I161" s="2"/>
    </row>
    <row r="162" spans="2:9" ht="15.75" customHeight="1">
      <c r="B162" s="273"/>
      <c r="C162" s="273"/>
      <c r="D162" s="273"/>
      <c r="E162" s="3"/>
      <c r="F162" s="301"/>
      <c r="G162" s="301"/>
      <c r="H162" s="301"/>
      <c r="I162" s="2"/>
    </row>
    <row r="163" spans="2:9" ht="15.75" customHeight="1">
      <c r="B163" s="273"/>
      <c r="C163" s="273"/>
      <c r="D163" s="273"/>
      <c r="E163" s="3"/>
      <c r="F163" s="301"/>
      <c r="G163" s="301"/>
      <c r="H163" s="301"/>
      <c r="I163" s="2"/>
    </row>
    <row r="164" spans="2:9" ht="15.75" customHeight="1">
      <c r="B164" s="273"/>
      <c r="C164" s="273"/>
      <c r="D164" s="273"/>
      <c r="E164" s="3"/>
      <c r="F164" s="301"/>
      <c r="G164" s="301"/>
      <c r="H164" s="301"/>
      <c r="I164" s="2"/>
    </row>
    <row r="165" spans="2:9" ht="15.75" customHeight="1">
      <c r="B165" s="273"/>
      <c r="C165" s="273"/>
      <c r="D165" s="273"/>
      <c r="E165" s="3"/>
      <c r="F165" s="301"/>
      <c r="G165" s="301"/>
      <c r="H165" s="301"/>
      <c r="I165" s="2"/>
    </row>
    <row r="166" spans="2:9" ht="15.75" customHeight="1">
      <c r="B166" s="273"/>
      <c r="C166" s="273"/>
      <c r="D166" s="273"/>
      <c r="E166" s="3"/>
      <c r="F166" s="301"/>
      <c r="G166" s="301"/>
      <c r="H166" s="301"/>
      <c r="I166" s="2"/>
    </row>
    <row r="167" spans="2:9" ht="15.75" customHeight="1">
      <c r="B167" s="273"/>
      <c r="C167" s="273"/>
      <c r="D167" s="273"/>
      <c r="E167" s="3"/>
      <c r="F167" s="301"/>
      <c r="G167" s="301"/>
      <c r="H167" s="301"/>
      <c r="I167" s="2"/>
    </row>
    <row r="168" spans="2:9" ht="15.75" customHeight="1">
      <c r="B168" s="273"/>
      <c r="C168" s="273"/>
      <c r="D168" s="273"/>
      <c r="E168" s="3"/>
      <c r="F168" s="301"/>
      <c r="G168" s="301"/>
      <c r="H168" s="301"/>
      <c r="I168" s="2"/>
    </row>
    <row r="169" spans="2:9" ht="15.75" customHeight="1">
      <c r="B169" s="273"/>
      <c r="C169" s="273"/>
      <c r="D169" s="273"/>
      <c r="E169" s="3"/>
      <c r="F169" s="301"/>
      <c r="G169" s="301"/>
      <c r="H169" s="301"/>
      <c r="I169" s="2"/>
    </row>
    <row r="170" spans="2:9" ht="15.75" customHeight="1">
      <c r="B170" s="273"/>
      <c r="C170" s="273"/>
      <c r="D170" s="273"/>
      <c r="E170" s="3"/>
      <c r="F170" s="301"/>
      <c r="G170" s="301"/>
      <c r="H170" s="301"/>
      <c r="I170" s="2"/>
    </row>
    <row r="171" spans="2:9" ht="15.75" customHeight="1">
      <c r="B171" s="273"/>
      <c r="C171" s="273"/>
      <c r="D171" s="273"/>
      <c r="E171" s="3"/>
      <c r="F171" s="301"/>
      <c r="G171" s="301"/>
      <c r="H171" s="301"/>
      <c r="I171" s="2"/>
    </row>
    <row r="172" spans="2:9" ht="15.75" customHeight="1">
      <c r="B172" s="273"/>
      <c r="C172" s="273"/>
      <c r="D172" s="273"/>
      <c r="E172" s="3"/>
      <c r="F172" s="301"/>
      <c r="G172" s="301"/>
      <c r="H172" s="301"/>
      <c r="I172" s="2"/>
    </row>
    <row r="173" spans="2:9" ht="15.75" customHeight="1">
      <c r="B173" s="273"/>
      <c r="C173" s="273"/>
      <c r="D173" s="273"/>
      <c r="E173" s="3"/>
      <c r="F173" s="301"/>
      <c r="G173" s="301"/>
      <c r="H173" s="301"/>
      <c r="I173" s="2"/>
    </row>
    <row r="174" spans="2:9" ht="15.75" customHeight="1">
      <c r="B174" s="273"/>
      <c r="C174" s="273"/>
      <c r="D174" s="273"/>
      <c r="E174" s="3"/>
      <c r="F174" s="301"/>
      <c r="G174" s="301"/>
      <c r="H174" s="301"/>
      <c r="I174" s="2"/>
    </row>
    <row r="175" spans="2:9" ht="15.75" customHeight="1">
      <c r="B175" s="273"/>
      <c r="C175" s="273"/>
      <c r="D175" s="273"/>
      <c r="E175" s="3"/>
      <c r="F175" s="301"/>
      <c r="G175" s="301"/>
      <c r="H175" s="301"/>
      <c r="I175" s="2"/>
    </row>
    <row r="176" spans="2:9" ht="15.75" customHeight="1">
      <c r="B176" s="273"/>
      <c r="C176" s="273"/>
      <c r="D176" s="273"/>
      <c r="E176" s="3"/>
      <c r="F176" s="301"/>
      <c r="G176" s="301"/>
      <c r="H176" s="301"/>
      <c r="I176" s="2"/>
    </row>
    <row r="177" spans="2:9" ht="15.75" customHeight="1">
      <c r="B177" s="273"/>
      <c r="C177" s="273"/>
      <c r="D177" s="273"/>
      <c r="E177" s="3"/>
      <c r="F177" s="301"/>
      <c r="G177" s="301"/>
      <c r="H177" s="301"/>
      <c r="I177" s="2"/>
    </row>
    <row r="178" spans="2:9" ht="15.75" customHeight="1">
      <c r="B178" s="273"/>
      <c r="C178" s="273"/>
      <c r="D178" s="273"/>
      <c r="E178" s="3"/>
      <c r="F178" s="301"/>
      <c r="G178" s="301"/>
      <c r="H178" s="301"/>
      <c r="I178" s="2"/>
    </row>
    <row r="179" spans="2:9" ht="15.75" customHeight="1">
      <c r="B179" s="273"/>
      <c r="C179" s="273"/>
      <c r="D179" s="273"/>
      <c r="E179" s="3"/>
      <c r="F179" s="301"/>
      <c r="G179" s="301"/>
      <c r="H179" s="301"/>
      <c r="I179" s="2"/>
    </row>
    <row r="180" spans="2:9" ht="15.75" customHeight="1">
      <c r="B180" s="273"/>
      <c r="C180" s="273"/>
      <c r="D180" s="273"/>
      <c r="E180" s="3"/>
      <c r="F180" s="301"/>
      <c r="G180" s="301"/>
      <c r="H180" s="301"/>
      <c r="I180" s="2"/>
    </row>
    <row r="181" spans="2:9" ht="15.75" customHeight="1">
      <c r="B181" s="273"/>
      <c r="C181" s="273"/>
      <c r="D181" s="273"/>
      <c r="E181" s="3"/>
      <c r="F181" s="301"/>
      <c r="G181" s="301"/>
      <c r="H181" s="301"/>
      <c r="I181" s="2"/>
    </row>
    <row r="182" spans="2:9" ht="15.75" customHeight="1">
      <c r="B182" s="273"/>
      <c r="C182" s="273"/>
      <c r="D182" s="273"/>
      <c r="E182" s="3"/>
      <c r="F182" s="301"/>
      <c r="G182" s="301"/>
      <c r="H182" s="301"/>
      <c r="I182" s="2"/>
    </row>
    <row r="183" spans="2:9" ht="15.75" customHeight="1">
      <c r="B183" s="273"/>
      <c r="C183" s="273"/>
      <c r="D183" s="273"/>
      <c r="E183" s="3"/>
      <c r="F183" s="301"/>
      <c r="G183" s="301"/>
      <c r="H183" s="301"/>
      <c r="I183" s="2"/>
    </row>
    <row r="184" spans="2:9" ht="15.75" customHeight="1">
      <c r="B184" s="273"/>
      <c r="C184" s="273"/>
      <c r="D184" s="273"/>
      <c r="E184" s="3"/>
      <c r="F184" s="301"/>
      <c r="G184" s="301"/>
      <c r="H184" s="301"/>
      <c r="I184" s="2"/>
    </row>
    <row r="185" spans="2:9" ht="15.75" customHeight="1">
      <c r="B185" s="273"/>
      <c r="C185" s="273"/>
      <c r="D185" s="273"/>
      <c r="E185" s="3"/>
      <c r="F185" s="301"/>
      <c r="G185" s="301"/>
      <c r="H185" s="301"/>
      <c r="I185" s="2"/>
    </row>
    <row r="186" spans="2:9" ht="15.75" customHeight="1">
      <c r="B186" s="273"/>
      <c r="C186" s="273"/>
      <c r="D186" s="273"/>
      <c r="E186" s="3"/>
      <c r="F186" s="301"/>
      <c r="G186" s="301"/>
      <c r="H186" s="301"/>
      <c r="I186" s="2"/>
    </row>
    <row r="187" spans="2:9" ht="15.75" customHeight="1">
      <c r="B187" s="273"/>
      <c r="C187" s="273"/>
      <c r="D187" s="273"/>
      <c r="E187" s="3"/>
      <c r="F187" s="301"/>
      <c r="G187" s="301"/>
      <c r="H187" s="301"/>
      <c r="I187" s="2"/>
    </row>
    <row r="188" spans="2:9" ht="15.75" customHeight="1">
      <c r="B188" s="273"/>
      <c r="C188" s="273"/>
      <c r="D188" s="273"/>
      <c r="E188" s="3"/>
      <c r="F188" s="301"/>
      <c r="G188" s="301"/>
      <c r="H188" s="301"/>
      <c r="I188" s="2"/>
    </row>
    <row r="189" spans="2:9" ht="15.75" customHeight="1">
      <c r="B189" s="273"/>
      <c r="C189" s="273"/>
      <c r="D189" s="273"/>
      <c r="E189" s="3"/>
      <c r="F189" s="301"/>
      <c r="G189" s="301"/>
      <c r="H189" s="301"/>
      <c r="I189" s="2"/>
    </row>
    <row r="190" spans="2:9" ht="15.75" customHeight="1">
      <c r="B190" s="273"/>
      <c r="C190" s="273"/>
      <c r="D190" s="273"/>
      <c r="E190" s="3"/>
      <c r="F190" s="301"/>
      <c r="G190" s="301"/>
      <c r="H190" s="301"/>
      <c r="I190" s="2"/>
    </row>
    <row r="191" spans="2:9" ht="15.75" customHeight="1">
      <c r="B191" s="273"/>
      <c r="C191" s="273"/>
      <c r="D191" s="273"/>
      <c r="E191" s="3"/>
      <c r="F191" s="301"/>
      <c r="G191" s="301"/>
      <c r="H191" s="301"/>
      <c r="I191" s="2"/>
    </row>
    <row r="192" spans="2:9" ht="15.75" customHeight="1">
      <c r="B192" s="273"/>
      <c r="C192" s="273"/>
      <c r="D192" s="273"/>
      <c r="E192" s="3"/>
      <c r="F192" s="301"/>
      <c r="G192" s="301"/>
      <c r="H192" s="301"/>
      <c r="I192" s="2"/>
    </row>
    <row r="193" spans="2:9" ht="15.75" customHeight="1">
      <c r="B193" s="273"/>
      <c r="C193" s="273"/>
      <c r="D193" s="273"/>
      <c r="E193" s="3"/>
      <c r="F193" s="301"/>
      <c r="G193" s="301"/>
      <c r="H193" s="301"/>
      <c r="I193" s="2"/>
    </row>
    <row r="194" spans="2:9" ht="15.75" customHeight="1">
      <c r="B194" s="273"/>
      <c r="C194" s="273"/>
      <c r="D194" s="273"/>
      <c r="E194" s="3"/>
      <c r="F194" s="301"/>
      <c r="G194" s="301"/>
      <c r="H194" s="301"/>
      <c r="I194" s="2"/>
    </row>
    <row r="195" spans="2:9" ht="15.75" customHeight="1">
      <c r="B195" s="273"/>
      <c r="C195" s="273"/>
      <c r="D195" s="273"/>
      <c r="E195" s="3"/>
      <c r="F195" s="301"/>
      <c r="G195" s="301"/>
      <c r="H195" s="301"/>
      <c r="I195" s="2"/>
    </row>
    <row r="196" spans="2:9" ht="15.75" customHeight="1">
      <c r="B196" s="273"/>
      <c r="C196" s="273"/>
      <c r="D196" s="273"/>
      <c r="E196" s="3"/>
      <c r="F196" s="301"/>
      <c r="G196" s="301"/>
      <c r="H196" s="301"/>
      <c r="I196" s="2"/>
    </row>
    <row r="197" spans="2:9" ht="15.75" customHeight="1">
      <c r="B197" s="273"/>
      <c r="C197" s="273"/>
      <c r="D197" s="273"/>
      <c r="E197" s="3"/>
      <c r="F197" s="301"/>
      <c r="G197" s="301"/>
      <c r="H197" s="301"/>
      <c r="I197" s="2"/>
    </row>
    <row r="198" spans="2:9" ht="15.75" customHeight="1">
      <c r="B198" s="273"/>
      <c r="C198" s="273"/>
      <c r="D198" s="273"/>
      <c r="E198" s="3"/>
      <c r="F198" s="301"/>
      <c r="G198" s="301"/>
      <c r="H198" s="301"/>
      <c r="I198" s="2"/>
    </row>
    <row r="199" spans="2:9" ht="15.75" customHeight="1">
      <c r="B199" s="273"/>
      <c r="C199" s="273"/>
      <c r="D199" s="273"/>
      <c r="E199" s="3"/>
      <c r="F199" s="301"/>
      <c r="G199" s="301"/>
      <c r="H199" s="301"/>
      <c r="I199" s="2"/>
    </row>
    <row r="200" spans="2:9" ht="15.75" customHeight="1">
      <c r="B200" s="273"/>
      <c r="C200" s="273"/>
      <c r="D200" s="273"/>
      <c r="E200" s="3"/>
      <c r="F200" s="301"/>
      <c r="G200" s="301"/>
      <c r="H200" s="301"/>
      <c r="I200" s="2"/>
    </row>
    <row r="201" spans="2:9" ht="15.75" customHeight="1">
      <c r="B201" s="273"/>
      <c r="C201" s="273"/>
      <c r="D201" s="273"/>
      <c r="E201" s="3"/>
      <c r="F201" s="301"/>
      <c r="G201" s="301"/>
      <c r="H201" s="301"/>
      <c r="I201" s="2"/>
    </row>
    <row r="202" spans="2:9" ht="15.75" customHeight="1">
      <c r="B202" s="273"/>
      <c r="C202" s="273"/>
      <c r="D202" s="273"/>
      <c r="E202" s="3"/>
      <c r="F202" s="301"/>
      <c r="G202" s="301"/>
      <c r="H202" s="301"/>
      <c r="I202" s="2"/>
    </row>
    <row r="203" spans="2:9" ht="15.75" customHeight="1">
      <c r="B203" s="273"/>
      <c r="C203" s="273"/>
      <c r="D203" s="273"/>
      <c r="E203" s="3"/>
      <c r="F203" s="301"/>
      <c r="G203" s="301"/>
      <c r="H203" s="301"/>
      <c r="I203" s="2"/>
    </row>
    <row r="204" spans="2:9" ht="15.75" customHeight="1">
      <c r="B204" s="273"/>
      <c r="C204" s="273"/>
      <c r="D204" s="273"/>
      <c r="E204" s="3"/>
      <c r="F204" s="301"/>
      <c r="G204" s="301"/>
      <c r="H204" s="301"/>
      <c r="I204" s="2"/>
    </row>
    <row r="205" spans="2:9" ht="15.75" customHeight="1">
      <c r="B205" s="273"/>
      <c r="C205" s="273"/>
      <c r="D205" s="273"/>
      <c r="E205" s="3"/>
      <c r="F205" s="301"/>
      <c r="G205" s="301"/>
      <c r="H205" s="301"/>
      <c r="I205" s="2"/>
    </row>
    <row r="206" spans="2:9" ht="15.75" customHeight="1">
      <c r="B206" s="273"/>
      <c r="C206" s="273"/>
      <c r="D206" s="273"/>
      <c r="E206" s="3"/>
      <c r="F206" s="301"/>
      <c r="G206" s="301"/>
      <c r="H206" s="301"/>
      <c r="I206" s="2"/>
    </row>
    <row r="207" spans="2:9" ht="15.75" customHeight="1">
      <c r="B207" s="273"/>
      <c r="C207" s="273"/>
      <c r="D207" s="273"/>
      <c r="E207" s="3"/>
      <c r="F207" s="301"/>
      <c r="G207" s="301"/>
      <c r="H207" s="301"/>
      <c r="I207" s="2"/>
    </row>
    <row r="208" spans="2:9" ht="15.75" customHeight="1">
      <c r="B208" s="273"/>
      <c r="C208" s="273"/>
      <c r="D208" s="273"/>
      <c r="E208" s="3"/>
      <c r="F208" s="301"/>
      <c r="G208" s="301"/>
      <c r="H208" s="301"/>
      <c r="I208" s="2"/>
    </row>
    <row r="209" spans="2:9" ht="15.75" customHeight="1">
      <c r="B209" s="273"/>
      <c r="C209" s="273"/>
      <c r="D209" s="273"/>
      <c r="E209" s="3"/>
      <c r="F209" s="301"/>
      <c r="G209" s="301"/>
      <c r="H209" s="301"/>
      <c r="I209" s="2"/>
    </row>
    <row r="210" spans="2:9" ht="15.75" customHeight="1">
      <c r="B210" s="273"/>
      <c r="C210" s="273"/>
      <c r="D210" s="273"/>
      <c r="E210" s="3"/>
      <c r="F210" s="301"/>
      <c r="G210" s="301"/>
      <c r="H210" s="301"/>
      <c r="I210" s="2"/>
    </row>
    <row r="211" spans="2:9" ht="15.75" customHeight="1">
      <c r="B211" s="273"/>
      <c r="C211" s="273"/>
      <c r="D211" s="273"/>
      <c r="E211" s="3"/>
      <c r="F211" s="301"/>
      <c r="G211" s="301"/>
      <c r="H211" s="301"/>
      <c r="I211" s="2"/>
    </row>
    <row r="212" spans="2:9" ht="15.75" customHeight="1">
      <c r="B212" s="273"/>
      <c r="C212" s="273"/>
      <c r="D212" s="273"/>
      <c r="E212" s="3"/>
      <c r="F212" s="301"/>
      <c r="G212" s="301"/>
      <c r="H212" s="301"/>
      <c r="I212" s="2"/>
    </row>
    <row r="213" spans="2:9" ht="15.75" customHeight="1">
      <c r="B213" s="273"/>
      <c r="C213" s="273"/>
      <c r="D213" s="273"/>
      <c r="E213" s="3"/>
      <c r="F213" s="301"/>
      <c r="G213" s="301"/>
      <c r="H213" s="301"/>
      <c r="I213" s="2"/>
    </row>
    <row r="214" spans="2:9" ht="15.75" customHeight="1">
      <c r="B214" s="273"/>
      <c r="C214" s="273"/>
      <c r="D214" s="273"/>
      <c r="E214" s="3"/>
      <c r="F214" s="301"/>
      <c r="G214" s="301"/>
      <c r="H214" s="301"/>
      <c r="I214" s="2"/>
    </row>
    <row r="215" spans="2:9" ht="15.75" customHeight="1">
      <c r="B215" s="273"/>
      <c r="C215" s="273"/>
      <c r="D215" s="273"/>
      <c r="E215" s="3"/>
      <c r="F215" s="301"/>
      <c r="G215" s="301"/>
      <c r="H215" s="301"/>
      <c r="I215" s="2"/>
    </row>
    <row r="216" spans="2:9" ht="15.75" customHeight="1">
      <c r="B216" s="273"/>
      <c r="C216" s="273"/>
      <c r="D216" s="273"/>
      <c r="E216" s="3"/>
      <c r="F216" s="301"/>
      <c r="G216" s="301"/>
      <c r="H216" s="301"/>
      <c r="I216" s="2"/>
    </row>
    <row r="217" spans="2:9" ht="15.75" customHeight="1">
      <c r="B217" s="273"/>
      <c r="C217" s="273"/>
      <c r="D217" s="273"/>
      <c r="E217" s="3"/>
      <c r="F217" s="301"/>
      <c r="G217" s="301"/>
      <c r="H217" s="301"/>
      <c r="I217" s="2"/>
    </row>
    <row r="218" spans="2:9" ht="15.75" customHeight="1">
      <c r="B218" s="273"/>
      <c r="C218" s="273"/>
      <c r="D218" s="273"/>
      <c r="E218" s="3"/>
      <c r="F218" s="301"/>
      <c r="G218" s="301"/>
      <c r="H218" s="301"/>
      <c r="I218" s="2"/>
    </row>
    <row r="219" spans="2:9" ht="15.75" customHeight="1">
      <c r="B219" s="273"/>
      <c r="C219" s="273"/>
      <c r="D219" s="273"/>
      <c r="E219" s="3"/>
      <c r="F219" s="301"/>
      <c r="G219" s="301"/>
      <c r="H219" s="301"/>
      <c r="I219" s="2"/>
    </row>
    <row r="220" spans="2:9" ht="15.75" customHeight="1">
      <c r="B220" s="273"/>
      <c r="C220" s="273"/>
      <c r="D220" s="273"/>
      <c r="E220" s="3"/>
      <c r="F220" s="301"/>
      <c r="G220" s="301"/>
      <c r="H220" s="301"/>
      <c r="I220" s="2"/>
    </row>
    <row r="221" spans="2:9" ht="15.75" customHeight="1">
      <c r="B221" s="273"/>
      <c r="C221" s="273"/>
      <c r="D221" s="273"/>
      <c r="E221" s="3"/>
      <c r="F221" s="301"/>
      <c r="G221" s="301"/>
      <c r="H221" s="301"/>
      <c r="I221" s="2"/>
    </row>
    <row r="222" spans="2:9" ht="15.75" customHeight="1">
      <c r="B222" s="273"/>
      <c r="C222" s="273"/>
      <c r="D222" s="273"/>
      <c r="E222" s="3"/>
      <c r="F222" s="301"/>
      <c r="G222" s="301"/>
      <c r="H222" s="301"/>
      <c r="I222" s="2"/>
    </row>
    <row r="223" spans="2:9" ht="15.75" customHeight="1">
      <c r="B223" s="273"/>
      <c r="C223" s="273"/>
      <c r="D223" s="273"/>
      <c r="E223" s="3"/>
      <c r="F223" s="301"/>
      <c r="G223" s="301"/>
      <c r="H223" s="301"/>
      <c r="I223" s="2"/>
    </row>
    <row r="224" spans="2:9" ht="15.75" customHeight="1">
      <c r="B224" s="273"/>
      <c r="C224" s="273"/>
      <c r="D224" s="273"/>
      <c r="E224" s="3"/>
      <c r="F224" s="301"/>
      <c r="G224" s="301"/>
      <c r="H224" s="301"/>
      <c r="I224" s="2"/>
    </row>
    <row r="225" spans="2:9" ht="15.75" customHeight="1">
      <c r="B225" s="273"/>
      <c r="C225" s="273"/>
      <c r="D225" s="273"/>
      <c r="E225" s="3"/>
      <c r="F225" s="301"/>
      <c r="G225" s="301"/>
      <c r="H225" s="301"/>
      <c r="I225" s="2"/>
    </row>
    <row r="226" spans="2:9" ht="15.75" customHeight="1">
      <c r="B226" s="273"/>
      <c r="C226" s="273"/>
      <c r="D226" s="273"/>
      <c r="E226" s="3"/>
      <c r="F226" s="301"/>
      <c r="G226" s="301"/>
      <c r="H226" s="301"/>
      <c r="I226" s="2"/>
    </row>
    <row r="227" spans="2:9" ht="15.75" customHeight="1">
      <c r="B227" s="273"/>
      <c r="C227" s="273"/>
      <c r="D227" s="273"/>
      <c r="E227" s="3"/>
      <c r="F227" s="301"/>
      <c r="G227" s="301"/>
      <c r="H227" s="301"/>
      <c r="I227" s="2"/>
    </row>
    <row r="228" spans="2:9" ht="15.75" customHeight="1">
      <c r="B228" s="273"/>
      <c r="C228" s="273"/>
      <c r="D228" s="273"/>
      <c r="E228" s="3"/>
      <c r="F228" s="301"/>
      <c r="G228" s="301"/>
      <c r="H228" s="301"/>
      <c r="I228" s="2"/>
    </row>
    <row r="229" spans="2:9" ht="15.75" customHeight="1">
      <c r="B229" s="273"/>
      <c r="C229" s="273"/>
      <c r="D229" s="273"/>
      <c r="E229" s="3"/>
      <c r="F229" s="301"/>
      <c r="G229" s="301"/>
      <c r="H229" s="301"/>
      <c r="I229" s="2"/>
    </row>
    <row r="230" spans="2:9" ht="15.75" customHeight="1">
      <c r="B230" s="273"/>
      <c r="C230" s="273"/>
      <c r="D230" s="273"/>
      <c r="E230" s="3"/>
      <c r="F230" s="301"/>
      <c r="G230" s="301"/>
      <c r="H230" s="301"/>
      <c r="I230" s="2"/>
    </row>
    <row r="231" spans="2:9" ht="15.75" customHeight="1">
      <c r="B231" s="273"/>
      <c r="C231" s="273"/>
      <c r="D231" s="273"/>
      <c r="E231" s="3"/>
      <c r="F231" s="301"/>
      <c r="G231" s="301"/>
      <c r="H231" s="301"/>
      <c r="I231" s="2"/>
    </row>
    <row r="232" spans="2:9" ht="15.75" customHeight="1">
      <c r="B232" s="273"/>
      <c r="C232" s="273"/>
      <c r="D232" s="273"/>
      <c r="E232" s="3"/>
      <c r="F232" s="301"/>
      <c r="G232" s="301"/>
      <c r="H232" s="301"/>
      <c r="I232" s="2"/>
    </row>
    <row r="233" spans="2:9" ht="15.75" customHeight="1">
      <c r="B233" s="273"/>
      <c r="C233" s="273"/>
      <c r="D233" s="273"/>
      <c r="E233" s="3"/>
      <c r="F233" s="301"/>
      <c r="G233" s="301"/>
      <c r="H233" s="301"/>
      <c r="I233" s="2"/>
    </row>
    <row r="234" spans="2:9" ht="15.75" customHeight="1">
      <c r="B234" s="273"/>
      <c r="C234" s="273"/>
      <c r="D234" s="273"/>
      <c r="E234" s="3"/>
      <c r="F234" s="301"/>
      <c r="G234" s="301"/>
      <c r="H234" s="301"/>
      <c r="I234" s="2"/>
    </row>
    <row r="235" spans="2:9" ht="15.75" customHeight="1">
      <c r="B235" s="273"/>
      <c r="C235" s="273"/>
      <c r="D235" s="273"/>
      <c r="E235" s="3"/>
      <c r="F235" s="301"/>
      <c r="G235" s="301"/>
      <c r="H235" s="301"/>
      <c r="I235" s="2"/>
    </row>
    <row r="236" spans="2:9" ht="15.75" customHeight="1">
      <c r="B236" s="273"/>
      <c r="C236" s="273"/>
      <c r="D236" s="273"/>
      <c r="E236" s="3"/>
      <c r="F236" s="301"/>
      <c r="G236" s="301"/>
      <c r="H236" s="301"/>
      <c r="I236" s="2"/>
    </row>
    <row r="237" spans="2:9" ht="15.75" customHeight="1">
      <c r="B237" s="273"/>
      <c r="C237" s="273"/>
      <c r="D237" s="273"/>
      <c r="E237" s="3"/>
      <c r="F237" s="301"/>
      <c r="G237" s="301"/>
      <c r="H237" s="301"/>
      <c r="I237" s="2"/>
    </row>
    <row r="238" spans="2:9" ht="15.75" customHeight="1">
      <c r="B238" s="273"/>
      <c r="C238" s="273"/>
      <c r="D238" s="273"/>
      <c r="E238" s="3"/>
      <c r="F238" s="301"/>
      <c r="G238" s="301"/>
      <c r="H238" s="301"/>
      <c r="I238" s="2"/>
    </row>
    <row r="239" spans="2:9" ht="15.75" customHeight="1">
      <c r="B239" s="273"/>
      <c r="C239" s="273"/>
      <c r="D239" s="273"/>
      <c r="E239" s="3"/>
      <c r="F239" s="301"/>
      <c r="G239" s="301"/>
      <c r="H239" s="301"/>
      <c r="I239" s="2"/>
    </row>
    <row r="240" spans="2:9" ht="15.75" customHeight="1">
      <c r="B240" s="273"/>
      <c r="C240" s="273"/>
      <c r="D240" s="273"/>
      <c r="E240" s="3"/>
      <c r="F240" s="301"/>
      <c r="G240" s="301"/>
      <c r="H240" s="301"/>
      <c r="I240" s="2"/>
    </row>
    <row r="241" spans="2:9" ht="15.75" customHeight="1">
      <c r="B241" s="273"/>
      <c r="C241" s="273"/>
      <c r="D241" s="273"/>
      <c r="E241" s="3"/>
      <c r="F241" s="301"/>
      <c r="G241" s="301"/>
      <c r="H241" s="301"/>
      <c r="I241" s="2"/>
    </row>
    <row r="242" spans="2:9" ht="15.75" customHeight="1">
      <c r="B242" s="273"/>
      <c r="C242" s="273"/>
      <c r="D242" s="273"/>
      <c r="E242" s="3"/>
      <c r="F242" s="301"/>
      <c r="G242" s="301"/>
      <c r="H242" s="301"/>
      <c r="I242" s="2"/>
    </row>
    <row r="243" spans="2:9" ht="15.75" customHeight="1">
      <c r="B243" s="273"/>
      <c r="C243" s="273"/>
      <c r="D243" s="273"/>
      <c r="E243" s="3"/>
      <c r="F243" s="301"/>
      <c r="G243" s="301"/>
      <c r="H243" s="301"/>
      <c r="I243" s="2"/>
    </row>
    <row r="244" spans="2:9" ht="15.75" customHeight="1">
      <c r="B244" s="273"/>
      <c r="C244" s="273"/>
      <c r="D244" s="273"/>
      <c r="E244" s="3"/>
      <c r="F244" s="301"/>
      <c r="G244" s="301"/>
      <c r="H244" s="301"/>
      <c r="I244" s="2"/>
    </row>
    <row r="245" spans="2:9" ht="15.75" customHeight="1">
      <c r="B245" s="273"/>
      <c r="C245" s="273"/>
      <c r="D245" s="273"/>
      <c r="E245" s="3"/>
      <c r="F245" s="301"/>
      <c r="G245" s="301"/>
      <c r="H245" s="301"/>
      <c r="I245" s="2"/>
    </row>
    <row r="246" spans="2:9" ht="15.75" customHeight="1">
      <c r="B246" s="273"/>
      <c r="C246" s="273"/>
      <c r="D246" s="273"/>
      <c r="E246" s="3"/>
      <c r="F246" s="301"/>
      <c r="G246" s="301"/>
      <c r="H246" s="301"/>
      <c r="I246" s="2"/>
    </row>
    <row r="247" spans="2:9" ht="15.75" customHeight="1">
      <c r="B247" s="273"/>
      <c r="C247" s="273"/>
      <c r="D247" s="273"/>
      <c r="E247" s="3"/>
      <c r="F247" s="301"/>
      <c r="G247" s="301"/>
      <c r="H247" s="301"/>
      <c r="I247" s="2"/>
    </row>
    <row r="248" spans="2:9" ht="15.75" customHeight="1">
      <c r="B248" s="273"/>
      <c r="C248" s="273"/>
      <c r="D248" s="273"/>
      <c r="E248" s="3"/>
      <c r="F248" s="301"/>
      <c r="G248" s="301"/>
      <c r="H248" s="301"/>
      <c r="I248" s="2"/>
    </row>
    <row r="249" spans="2:9" ht="15.75" customHeight="1">
      <c r="B249" s="273"/>
      <c r="C249" s="273"/>
      <c r="D249" s="273"/>
      <c r="E249" s="3"/>
      <c r="F249" s="301"/>
      <c r="G249" s="301"/>
      <c r="H249" s="301"/>
      <c r="I249" s="2"/>
    </row>
    <row r="250" spans="2:9" ht="15.75" customHeight="1">
      <c r="B250" s="273"/>
      <c r="C250" s="273"/>
      <c r="D250" s="273"/>
      <c r="E250" s="3"/>
      <c r="F250" s="301"/>
      <c r="G250" s="301"/>
      <c r="H250" s="301"/>
      <c r="I250" s="2"/>
    </row>
    <row r="251" spans="2:9" ht="15.75" customHeight="1">
      <c r="B251" s="273"/>
      <c r="C251" s="273"/>
      <c r="D251" s="273"/>
      <c r="E251" s="3"/>
      <c r="F251" s="301"/>
      <c r="G251" s="301"/>
      <c r="H251" s="301"/>
      <c r="I251" s="2"/>
    </row>
    <row r="252" spans="2:9" ht="15.75" customHeight="1">
      <c r="B252" s="273"/>
      <c r="C252" s="273"/>
      <c r="D252" s="273"/>
      <c r="E252" s="3"/>
      <c r="F252" s="301"/>
      <c r="G252" s="301"/>
      <c r="H252" s="301"/>
      <c r="I252" s="2"/>
    </row>
    <row r="253" spans="2:9" ht="15.75" customHeight="1">
      <c r="B253" s="273"/>
      <c r="C253" s="273"/>
      <c r="D253" s="273"/>
      <c r="E253" s="3"/>
      <c r="F253" s="301"/>
      <c r="G253" s="301"/>
      <c r="H253" s="301"/>
      <c r="I253" s="2"/>
    </row>
    <row r="254" spans="2:9" ht="15.75" customHeight="1">
      <c r="B254" s="273"/>
      <c r="C254" s="273"/>
      <c r="D254" s="273"/>
      <c r="E254" s="3"/>
      <c r="F254" s="301"/>
      <c r="G254" s="301"/>
      <c r="H254" s="301"/>
      <c r="I254" s="2"/>
    </row>
    <row r="255" spans="2:9" ht="15.75" customHeight="1">
      <c r="B255" s="273"/>
      <c r="C255" s="273"/>
      <c r="D255" s="273"/>
      <c r="E255" s="3"/>
      <c r="F255" s="301"/>
      <c r="G255" s="301"/>
      <c r="H255" s="301"/>
      <c r="I255" s="2"/>
    </row>
    <row r="256" spans="2:9" ht="15.75" customHeight="1">
      <c r="B256" s="273"/>
      <c r="C256" s="273"/>
      <c r="D256" s="273"/>
      <c r="E256" s="3"/>
      <c r="F256" s="301"/>
      <c r="G256" s="301"/>
      <c r="H256" s="301"/>
      <c r="I256" s="2"/>
    </row>
    <row r="257" spans="2:9" ht="15.75" customHeight="1">
      <c r="B257" s="273"/>
      <c r="C257" s="273"/>
      <c r="D257" s="273"/>
      <c r="E257" s="3"/>
      <c r="F257" s="301"/>
      <c r="G257" s="301"/>
      <c r="H257" s="301"/>
      <c r="I257" s="2"/>
    </row>
    <row r="258" spans="2:9" ht="15.75" customHeight="1">
      <c r="B258" s="273"/>
      <c r="C258" s="273"/>
      <c r="D258" s="273"/>
      <c r="E258" s="3"/>
      <c r="F258" s="301"/>
      <c r="G258" s="301"/>
      <c r="H258" s="301"/>
      <c r="I258" s="2"/>
    </row>
    <row r="259" spans="2:9" ht="15.75" customHeight="1">
      <c r="B259" s="273"/>
      <c r="C259" s="273"/>
      <c r="D259" s="273"/>
      <c r="E259" s="3"/>
      <c r="F259" s="301"/>
      <c r="G259" s="301"/>
      <c r="H259" s="301"/>
      <c r="I259" s="2"/>
    </row>
    <row r="260" spans="2:9" ht="15.75" customHeight="1">
      <c r="B260" s="273"/>
      <c r="C260" s="273"/>
      <c r="D260" s="273"/>
      <c r="E260" s="3"/>
      <c r="F260" s="301"/>
      <c r="G260" s="301"/>
      <c r="H260" s="301"/>
      <c r="I260" s="2"/>
    </row>
    <row r="261" spans="2:9" ht="15.75" customHeight="1">
      <c r="B261" s="273"/>
      <c r="C261" s="273"/>
      <c r="D261" s="273"/>
      <c r="E261" s="3"/>
      <c r="F261" s="301"/>
      <c r="G261" s="301"/>
      <c r="H261" s="301"/>
      <c r="I261" s="2"/>
    </row>
    <row r="262" spans="2:9" ht="15.75" customHeight="1">
      <c r="B262" s="273"/>
      <c r="C262" s="273"/>
      <c r="D262" s="273"/>
      <c r="E262" s="3"/>
      <c r="F262" s="301"/>
      <c r="G262" s="301"/>
      <c r="H262" s="301"/>
      <c r="I262" s="2"/>
    </row>
    <row r="263" spans="2:9" ht="15.75" customHeight="1">
      <c r="B263" s="273"/>
      <c r="C263" s="273"/>
      <c r="D263" s="273"/>
      <c r="E263" s="3"/>
      <c r="F263" s="301"/>
      <c r="G263" s="301"/>
      <c r="H263" s="301"/>
      <c r="I263" s="2"/>
    </row>
    <row r="264" spans="2:9" ht="15.75" customHeight="1">
      <c r="B264" s="273"/>
      <c r="C264" s="273"/>
      <c r="D264" s="273"/>
      <c r="E264" s="3"/>
      <c r="F264" s="301"/>
      <c r="G264" s="301"/>
      <c r="H264" s="301"/>
      <c r="I264" s="2"/>
    </row>
    <row r="265" spans="2:9" ht="15.75" customHeight="1">
      <c r="B265" s="273"/>
      <c r="C265" s="273"/>
      <c r="D265" s="273"/>
      <c r="E265" s="3"/>
      <c r="F265" s="301"/>
      <c r="G265" s="301"/>
      <c r="H265" s="301"/>
      <c r="I265" s="2"/>
    </row>
    <row r="266" spans="2:9" ht="15.75" customHeight="1">
      <c r="B266" s="273"/>
      <c r="C266" s="273"/>
      <c r="D266" s="273"/>
      <c r="E266" s="3"/>
      <c r="F266" s="301"/>
      <c r="G266" s="301"/>
      <c r="H266" s="301"/>
      <c r="I266" s="2"/>
    </row>
    <row r="267" spans="2:9" ht="15.75" customHeight="1">
      <c r="B267" s="273"/>
      <c r="C267" s="273"/>
      <c r="D267" s="273"/>
      <c r="E267" s="3"/>
      <c r="F267" s="301"/>
      <c r="G267" s="301"/>
      <c r="H267" s="301"/>
      <c r="I267" s="2"/>
    </row>
    <row r="268" spans="2:9" ht="15.75" customHeight="1">
      <c r="B268" s="273"/>
      <c r="C268" s="273"/>
      <c r="D268" s="273"/>
      <c r="E268" s="3"/>
      <c r="F268" s="301"/>
      <c r="G268" s="301"/>
      <c r="H268" s="301"/>
      <c r="I268" s="2"/>
    </row>
    <row r="269" spans="2:9" ht="15.75" customHeight="1">
      <c r="B269" s="273"/>
      <c r="C269" s="273"/>
      <c r="D269" s="273"/>
      <c r="E269" s="3"/>
      <c r="F269" s="301"/>
      <c r="G269" s="301"/>
      <c r="H269" s="301"/>
      <c r="I269" s="2"/>
    </row>
    <row r="270" spans="2:9" ht="15.75" customHeight="1">
      <c r="B270" s="273"/>
      <c r="C270" s="273"/>
      <c r="D270" s="273"/>
      <c r="E270" s="3"/>
      <c r="F270" s="301"/>
      <c r="G270" s="301"/>
      <c r="H270" s="301"/>
      <c r="I270" s="2"/>
    </row>
    <row r="271" spans="2:9" ht="15.75" customHeight="1">
      <c r="B271" s="273"/>
      <c r="C271" s="273"/>
      <c r="D271" s="273"/>
      <c r="E271" s="3"/>
      <c r="F271" s="301"/>
      <c r="G271" s="301"/>
      <c r="H271" s="301"/>
      <c r="I271" s="2"/>
    </row>
    <row r="272" spans="2:9" ht="15.75" customHeight="1">
      <c r="B272" s="273"/>
      <c r="C272" s="273"/>
      <c r="D272" s="273"/>
      <c r="E272" s="3"/>
      <c r="F272" s="301"/>
      <c r="G272" s="301"/>
      <c r="H272" s="301"/>
      <c r="I272" s="2"/>
    </row>
    <row r="273" spans="2:9" ht="15.75" customHeight="1">
      <c r="B273" s="273"/>
      <c r="C273" s="273"/>
      <c r="D273" s="273"/>
      <c r="E273" s="3"/>
      <c r="F273" s="301"/>
      <c r="G273" s="301"/>
      <c r="H273" s="301"/>
      <c r="I273" s="2"/>
    </row>
    <row r="274" spans="2:9" ht="15.75" customHeight="1">
      <c r="B274" s="273"/>
      <c r="C274" s="273"/>
      <c r="D274" s="273"/>
      <c r="E274" s="3"/>
      <c r="F274" s="301"/>
      <c r="G274" s="301"/>
      <c r="H274" s="301"/>
      <c r="I274" s="2"/>
    </row>
    <row r="275" spans="2:9" ht="15.75" customHeight="1">
      <c r="B275" s="273"/>
      <c r="C275" s="273"/>
      <c r="D275" s="273"/>
      <c r="E275" s="3"/>
      <c r="F275" s="301"/>
      <c r="G275" s="301"/>
      <c r="H275" s="301"/>
      <c r="I275" s="2"/>
    </row>
    <row r="276" spans="2:9" ht="15.75" customHeight="1">
      <c r="B276" s="273"/>
      <c r="C276" s="273"/>
      <c r="D276" s="273"/>
      <c r="E276" s="3"/>
      <c r="F276" s="301"/>
      <c r="G276" s="301"/>
      <c r="H276" s="301"/>
      <c r="I276" s="2"/>
    </row>
    <row r="277" spans="2:9" ht="15.75" customHeight="1">
      <c r="B277" s="273"/>
      <c r="C277" s="273"/>
      <c r="D277" s="273"/>
      <c r="E277" s="3"/>
      <c r="F277" s="301"/>
      <c r="G277" s="301"/>
      <c r="H277" s="301"/>
      <c r="I277" s="2"/>
    </row>
    <row r="278" spans="2:9" ht="15.75" customHeight="1">
      <c r="B278" s="273"/>
      <c r="C278" s="273"/>
      <c r="D278" s="273"/>
      <c r="E278" s="3"/>
      <c r="F278" s="301"/>
      <c r="G278" s="301"/>
      <c r="H278" s="301"/>
      <c r="I278" s="2"/>
    </row>
    <row r="279" spans="2:9" ht="15.75" customHeight="1">
      <c r="B279" s="273"/>
      <c r="C279" s="273"/>
      <c r="D279" s="273"/>
      <c r="E279" s="3"/>
      <c r="F279" s="301"/>
      <c r="G279" s="301"/>
      <c r="H279" s="301"/>
      <c r="I279" s="2"/>
    </row>
    <row r="280" spans="2:9" ht="15.75" customHeight="1">
      <c r="B280" s="273"/>
      <c r="C280" s="273"/>
      <c r="D280" s="273"/>
      <c r="E280" s="3"/>
      <c r="F280" s="301"/>
      <c r="G280" s="301"/>
      <c r="H280" s="301"/>
      <c r="I280" s="2"/>
    </row>
    <row r="281" spans="2:9" ht="15.75" customHeight="1">
      <c r="B281" s="273"/>
      <c r="C281" s="273"/>
      <c r="D281" s="273"/>
      <c r="E281" s="3"/>
      <c r="F281" s="301"/>
      <c r="G281" s="301"/>
      <c r="H281" s="301"/>
      <c r="I281" s="2"/>
    </row>
    <row r="282" spans="2:9" ht="15.75" customHeight="1">
      <c r="B282" s="273"/>
      <c r="C282" s="273"/>
      <c r="D282" s="273"/>
      <c r="E282" s="3"/>
      <c r="F282" s="301"/>
      <c r="G282" s="301"/>
      <c r="H282" s="301"/>
      <c r="I282" s="2"/>
    </row>
    <row r="283" spans="2:9" ht="15.75" customHeight="1">
      <c r="B283" s="273"/>
      <c r="C283" s="273"/>
      <c r="D283" s="273"/>
      <c r="E283" s="3"/>
      <c r="F283" s="301"/>
      <c r="G283" s="301"/>
      <c r="H283" s="301"/>
      <c r="I283" s="2"/>
    </row>
    <row r="284" spans="2:9" ht="15.75" customHeight="1">
      <c r="B284" s="273"/>
      <c r="C284" s="273"/>
      <c r="D284" s="273"/>
      <c r="E284" s="3"/>
      <c r="F284" s="301"/>
      <c r="G284" s="301"/>
      <c r="H284" s="301"/>
      <c r="I284" s="2"/>
    </row>
    <row r="285" spans="2:9" ht="15.75" customHeight="1">
      <c r="B285" s="273"/>
      <c r="C285" s="273"/>
      <c r="D285" s="273"/>
      <c r="E285" s="3"/>
      <c r="F285" s="301"/>
      <c r="G285" s="301"/>
      <c r="H285" s="301"/>
      <c r="I285" s="2"/>
    </row>
  </sheetData>
  <mergeCells count="13">
    <mergeCell ref="I4:I6"/>
    <mergeCell ref="I42:I44"/>
    <mergeCell ref="B55:D55"/>
    <mergeCell ref="H42:H44"/>
    <mergeCell ref="B18:E18"/>
    <mergeCell ref="B31:E31"/>
    <mergeCell ref="G42:G44"/>
    <mergeCell ref="F42:F44"/>
    <mergeCell ref="G4:G6"/>
    <mergeCell ref="H4:H6"/>
    <mergeCell ref="F4:F6"/>
    <mergeCell ref="B14:E14"/>
    <mergeCell ref="B54:D54"/>
  </mergeCells>
  <printOptions horizontalCentered="1"/>
  <pageMargins left="0.78740157480314965" right="0.78740157480314965" top="0.78740157480314965" bottom="0.78740157480314965" header="0.39370078740157483" footer="0.39370078740157483"/>
  <pageSetup paperSize="9" scale="96" firstPageNumber="79" orientation="portrait" useFirstPageNumber="1" r:id="rId1"/>
  <headerFooter>
    <oddHeader>&amp;C&amp;"+,Tučné"II. Rozpis rozpočtu</oddHeader>
    <oddFooter>&amp;C&amp;"-,Obyčejné" &amp;P</oddFooter>
  </headerFooter>
  <ignoredErrors>
    <ignoredError sqref="B45:C45 F45:G46 B47:D48 B46:C46" numberStoredAsText="1"/>
  </ignoredErrors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7030A0"/>
  </sheetPr>
  <dimension ref="A1:Q292"/>
  <sheetViews>
    <sheetView zoomScaleNormal="100" workbookViewId="0">
      <selection activeCell="D56" sqref="D56"/>
    </sheetView>
  </sheetViews>
  <sheetFormatPr defaultRowHeight="15"/>
  <cols>
    <col min="1" max="1" width="5.5703125" style="203" customWidth="1"/>
    <col min="2" max="3" width="5.7109375" style="48" customWidth="1"/>
    <col min="4" max="4" width="5.7109375" style="12" customWidth="1"/>
    <col min="5" max="5" width="39.42578125" style="12" customWidth="1"/>
    <col min="6" max="6" width="9.85546875" style="122" customWidth="1"/>
    <col min="7" max="7" width="9.85546875" style="122" hidden="1" customWidth="1"/>
    <col min="8" max="9" width="9.85546875" style="122" customWidth="1"/>
    <col min="10" max="16384" width="9.140625" style="12"/>
  </cols>
  <sheetData>
    <row r="1" spans="1:9" ht="15.75" customHeight="1">
      <c r="B1" s="160"/>
      <c r="C1" s="160"/>
      <c r="D1" s="3"/>
      <c r="E1" s="3"/>
    </row>
    <row r="2" spans="1:9" ht="15.75" customHeight="1">
      <c r="B2" s="160"/>
      <c r="C2" s="160"/>
      <c r="D2" s="3"/>
      <c r="E2" s="3"/>
    </row>
    <row r="3" spans="1:9" ht="15.75" customHeight="1" thickBot="1">
      <c r="B3" s="160"/>
      <c r="C3" s="160"/>
      <c r="D3" s="3"/>
      <c r="E3" s="3"/>
    </row>
    <row r="4" spans="1:9" ht="15.75" customHeight="1" thickTop="1">
      <c r="B4" s="679"/>
      <c r="C4" s="680"/>
      <c r="D4" s="681"/>
      <c r="E4" s="682"/>
      <c r="F4" s="2070" t="s">
        <v>44</v>
      </c>
      <c r="G4" s="2070" t="s">
        <v>43</v>
      </c>
      <c r="H4" s="1962" t="s">
        <v>1487</v>
      </c>
      <c r="I4" s="1971" t="s">
        <v>1488</v>
      </c>
    </row>
    <row r="5" spans="1:9" ht="15.75" customHeight="1">
      <c r="A5" s="203" t="s">
        <v>120</v>
      </c>
      <c r="B5" s="683" t="s">
        <v>42</v>
      </c>
      <c r="C5" s="35" t="s">
        <v>41</v>
      </c>
      <c r="D5" s="34" t="s">
        <v>40</v>
      </c>
      <c r="E5" s="33"/>
      <c r="F5" s="1963"/>
      <c r="G5" s="1963"/>
      <c r="H5" s="1963"/>
      <c r="I5" s="1972"/>
    </row>
    <row r="6" spans="1:9" ht="15.75" customHeight="1" thickBot="1">
      <c r="B6" s="684"/>
      <c r="C6" s="30"/>
      <c r="D6" s="29"/>
      <c r="E6" s="28" t="s">
        <v>38</v>
      </c>
      <c r="F6" s="1964"/>
      <c r="G6" s="1964"/>
      <c r="H6" s="1964"/>
      <c r="I6" s="1973"/>
    </row>
    <row r="7" spans="1:9" ht="15.75" hidden="1" customHeight="1" thickTop="1" thickBot="1">
      <c r="B7" s="685">
        <v>6223</v>
      </c>
      <c r="C7" s="384">
        <v>5221</v>
      </c>
      <c r="D7" s="257" t="s">
        <v>1056</v>
      </c>
      <c r="E7" s="686" t="s">
        <v>1057</v>
      </c>
      <c r="F7" s="482">
        <v>0</v>
      </c>
      <c r="G7" s="482">
        <v>261.95499999999998</v>
      </c>
      <c r="H7" s="482">
        <v>0</v>
      </c>
      <c r="I7" s="1367">
        <v>0</v>
      </c>
    </row>
    <row r="8" spans="1:9" ht="15.75" hidden="1" customHeight="1" thickBot="1">
      <c r="B8" s="685">
        <v>6223</v>
      </c>
      <c r="C8" s="384">
        <v>5222</v>
      </c>
      <c r="D8" s="257" t="s">
        <v>1055</v>
      </c>
      <c r="E8" s="686" t="s">
        <v>1058</v>
      </c>
      <c r="F8" s="482">
        <v>0</v>
      </c>
      <c r="G8" s="482">
        <v>0</v>
      </c>
      <c r="H8" s="482"/>
      <c r="I8" s="1367"/>
    </row>
    <row r="9" spans="1:9" ht="15.75" hidden="1" customHeight="1" thickBot="1">
      <c r="B9" s="685">
        <v>6223</v>
      </c>
      <c r="C9" s="384">
        <v>5222</v>
      </c>
      <c r="D9" s="257" t="s">
        <v>919</v>
      </c>
      <c r="E9" s="686" t="s">
        <v>1059</v>
      </c>
      <c r="F9" s="482">
        <v>0</v>
      </c>
      <c r="G9" s="482">
        <v>60</v>
      </c>
      <c r="H9" s="482">
        <v>0</v>
      </c>
      <c r="I9" s="1367">
        <v>0</v>
      </c>
    </row>
    <row r="10" spans="1:9" ht="15.75" hidden="1" customHeight="1" thickBot="1">
      <c r="B10" s="685">
        <v>6223</v>
      </c>
      <c r="C10" s="384">
        <v>5222</v>
      </c>
      <c r="D10" s="257" t="s">
        <v>1055</v>
      </c>
      <c r="E10" s="686" t="s">
        <v>1060</v>
      </c>
      <c r="F10" s="482">
        <v>0</v>
      </c>
      <c r="G10" s="482">
        <v>20</v>
      </c>
      <c r="H10" s="482">
        <v>0</v>
      </c>
      <c r="I10" s="1367">
        <v>0</v>
      </c>
    </row>
    <row r="11" spans="1:9" ht="15.75" hidden="1" customHeight="1" thickBot="1">
      <c r="B11" s="685">
        <v>6223</v>
      </c>
      <c r="C11" s="384">
        <v>5222</v>
      </c>
      <c r="D11" s="257" t="s">
        <v>1055</v>
      </c>
      <c r="E11" s="686" t="s">
        <v>1061</v>
      </c>
      <c r="F11" s="482">
        <v>0</v>
      </c>
      <c r="G11" s="482">
        <v>0</v>
      </c>
      <c r="H11" s="482"/>
      <c r="I11" s="1367"/>
    </row>
    <row r="12" spans="1:9" ht="15.75" hidden="1" customHeight="1" thickBot="1">
      <c r="B12" s="685">
        <v>6223</v>
      </c>
      <c r="C12" s="384">
        <v>5331</v>
      </c>
      <c r="D12" s="257" t="s">
        <v>1062</v>
      </c>
      <c r="E12" s="686" t="s">
        <v>1063</v>
      </c>
      <c r="F12" s="482">
        <v>0</v>
      </c>
      <c r="G12" s="482">
        <v>12</v>
      </c>
      <c r="H12" s="482">
        <v>0</v>
      </c>
      <c r="I12" s="1367">
        <v>0</v>
      </c>
    </row>
    <row r="13" spans="1:9" ht="15.75" hidden="1" customHeight="1" thickBot="1">
      <c r="B13" s="685">
        <v>6223</v>
      </c>
      <c r="C13" s="384">
        <v>5331</v>
      </c>
      <c r="D13" s="257" t="s">
        <v>904</v>
      </c>
      <c r="E13" s="686" t="s">
        <v>1064</v>
      </c>
      <c r="F13" s="482">
        <v>0</v>
      </c>
      <c r="G13" s="482">
        <v>15</v>
      </c>
      <c r="H13" s="482">
        <v>0</v>
      </c>
      <c r="I13" s="1367">
        <v>0</v>
      </c>
    </row>
    <row r="14" spans="1:9" ht="15.75" hidden="1" customHeight="1" thickBot="1">
      <c r="B14" s="685">
        <v>6223</v>
      </c>
      <c r="C14" s="384">
        <v>5331</v>
      </c>
      <c r="D14" s="257" t="s">
        <v>906</v>
      </c>
      <c r="E14" s="686" t="s">
        <v>1065</v>
      </c>
      <c r="F14" s="482">
        <v>0</v>
      </c>
      <c r="G14" s="482">
        <v>50</v>
      </c>
      <c r="H14" s="482">
        <v>0</v>
      </c>
      <c r="I14" s="1367">
        <v>0</v>
      </c>
    </row>
    <row r="15" spans="1:9" ht="15.75" hidden="1" customHeight="1" thickBot="1">
      <c r="B15" s="685">
        <v>6223</v>
      </c>
      <c r="C15" s="384">
        <v>5493</v>
      </c>
      <c r="D15" s="257" t="s">
        <v>1055</v>
      </c>
      <c r="E15" s="686" t="s">
        <v>1066</v>
      </c>
      <c r="F15" s="482">
        <v>0</v>
      </c>
      <c r="G15" s="482">
        <v>48</v>
      </c>
      <c r="H15" s="482">
        <v>0</v>
      </c>
      <c r="I15" s="1367">
        <v>0</v>
      </c>
    </row>
    <row r="16" spans="1:9" ht="15.75" customHeight="1" thickTop="1" thickBot="1">
      <c r="B16" s="685">
        <v>6223</v>
      </c>
      <c r="C16" s="384">
        <v>5901</v>
      </c>
      <c r="D16" s="257" t="s">
        <v>1055</v>
      </c>
      <c r="E16" s="686" t="s">
        <v>896</v>
      </c>
      <c r="F16" s="687">
        <v>500</v>
      </c>
      <c r="G16" s="687">
        <f>500-466.955</f>
        <v>33.045000000000016</v>
      </c>
      <c r="H16" s="687">
        <v>500</v>
      </c>
      <c r="I16" s="1368">
        <v>500</v>
      </c>
    </row>
    <row r="17" spans="2:17" ht="15.75" customHeight="1" thickBot="1">
      <c r="B17" s="2071" t="s">
        <v>1067</v>
      </c>
      <c r="C17" s="2072"/>
      <c r="D17" s="2072"/>
      <c r="E17" s="2073"/>
      <c r="F17" s="739">
        <f>SUM(F7:F16)</f>
        <v>500</v>
      </c>
      <c r="G17" s="739">
        <f>SUM(G7:G16)</f>
        <v>500</v>
      </c>
      <c r="H17" s="739">
        <f>SUM(H7:H16)</f>
        <v>500</v>
      </c>
      <c r="I17" s="1369">
        <f>SUM(I7:I16)</f>
        <v>500</v>
      </c>
      <c r="J17" s="16"/>
      <c r="K17" s="16"/>
      <c r="L17" s="16"/>
      <c r="M17" s="16"/>
      <c r="N17" s="16"/>
      <c r="O17" s="16"/>
      <c r="P17" s="16"/>
      <c r="Q17" s="16"/>
    </row>
    <row r="18" spans="2:17" ht="15.75" hidden="1" customHeight="1" thickTop="1" thickBot="1">
      <c r="B18" s="688">
        <v>6171</v>
      </c>
      <c r="C18" s="689" t="s">
        <v>1068</v>
      </c>
      <c r="D18" s="690">
        <v>4300</v>
      </c>
      <c r="E18" s="691" t="s">
        <v>1069</v>
      </c>
      <c r="F18" s="692">
        <v>0</v>
      </c>
      <c r="G18" s="692">
        <v>0</v>
      </c>
      <c r="H18" s="692"/>
      <c r="I18" s="1370"/>
    </row>
    <row r="19" spans="2:17" ht="15.75" customHeight="1" thickTop="1" thickBot="1">
      <c r="B19" s="693">
        <v>6171</v>
      </c>
      <c r="C19" s="689">
        <v>5133</v>
      </c>
      <c r="D19" s="690">
        <v>4300</v>
      </c>
      <c r="E19" s="691" t="s">
        <v>1070</v>
      </c>
      <c r="F19" s="450">
        <v>5</v>
      </c>
      <c r="G19" s="450">
        <v>5</v>
      </c>
      <c r="H19" s="450">
        <v>5</v>
      </c>
      <c r="I19" s="1370">
        <v>5</v>
      </c>
    </row>
    <row r="20" spans="2:17" ht="15.75" customHeight="1" thickBot="1">
      <c r="B20" s="693" t="s">
        <v>52</v>
      </c>
      <c r="C20" s="689" t="s">
        <v>65</v>
      </c>
      <c r="D20" s="690">
        <v>4300</v>
      </c>
      <c r="E20" s="691" t="s">
        <v>91</v>
      </c>
      <c r="F20" s="443">
        <v>20</v>
      </c>
      <c r="G20" s="443">
        <v>20</v>
      </c>
      <c r="H20" s="443">
        <v>20</v>
      </c>
      <c r="I20" s="1371">
        <v>20</v>
      </c>
    </row>
    <row r="21" spans="2:17" ht="15.75" customHeight="1" thickBot="1">
      <c r="B21" s="694">
        <v>6171</v>
      </c>
      <c r="C21" s="695">
        <v>5139</v>
      </c>
      <c r="D21" s="696">
        <v>4300</v>
      </c>
      <c r="E21" s="697" t="s">
        <v>1071</v>
      </c>
      <c r="F21" s="443">
        <v>300</v>
      </c>
      <c r="G21" s="443">
        <v>300</v>
      </c>
      <c r="H21" s="443">
        <v>300</v>
      </c>
      <c r="I21" s="1371">
        <v>300</v>
      </c>
    </row>
    <row r="22" spans="2:17" ht="15.75" customHeight="1" thickBot="1">
      <c r="B22" s="694" t="s">
        <v>52</v>
      </c>
      <c r="C22" s="695" t="s">
        <v>366</v>
      </c>
      <c r="D22" s="696">
        <v>4300</v>
      </c>
      <c r="E22" s="697" t="s">
        <v>528</v>
      </c>
      <c r="F22" s="443">
        <v>3</v>
      </c>
      <c r="G22" s="443">
        <v>3</v>
      </c>
      <c r="H22" s="443">
        <v>3</v>
      </c>
      <c r="I22" s="1371">
        <v>3</v>
      </c>
    </row>
    <row r="23" spans="2:17" ht="15.75" customHeight="1" thickBot="1">
      <c r="B23" s="694">
        <v>6171</v>
      </c>
      <c r="C23" s="695">
        <v>5164</v>
      </c>
      <c r="D23" s="696">
        <v>4300</v>
      </c>
      <c r="E23" s="697" t="s">
        <v>208</v>
      </c>
      <c r="F23" s="615">
        <v>180</v>
      </c>
      <c r="G23" s="615">
        <v>180</v>
      </c>
      <c r="H23" s="615">
        <v>180</v>
      </c>
      <c r="I23" s="1372">
        <v>180</v>
      </c>
    </row>
    <row r="24" spans="2:17" ht="15.75" customHeight="1" thickBot="1">
      <c r="B24" s="698">
        <v>6171</v>
      </c>
      <c r="C24" s="699">
        <v>5167</v>
      </c>
      <c r="D24" s="696">
        <v>4300</v>
      </c>
      <c r="E24" s="697" t="s">
        <v>1072</v>
      </c>
      <c r="F24" s="615">
        <v>20</v>
      </c>
      <c r="G24" s="615">
        <v>20</v>
      </c>
      <c r="H24" s="615">
        <v>20</v>
      </c>
      <c r="I24" s="1372">
        <v>20</v>
      </c>
    </row>
    <row r="25" spans="2:17" ht="15.75" customHeight="1" thickBot="1">
      <c r="B25" s="698" t="s">
        <v>52</v>
      </c>
      <c r="C25" s="699">
        <v>5169</v>
      </c>
      <c r="D25" s="696">
        <v>4300</v>
      </c>
      <c r="E25" s="569" t="s">
        <v>1073</v>
      </c>
      <c r="F25" s="443">
        <v>600</v>
      </c>
      <c r="G25" s="443">
        <v>600</v>
      </c>
      <c r="H25" s="443">
        <v>600</v>
      </c>
      <c r="I25" s="1371">
        <v>600</v>
      </c>
    </row>
    <row r="26" spans="2:17" ht="15.75" customHeight="1" thickBot="1">
      <c r="B26" s="698">
        <v>6112</v>
      </c>
      <c r="C26" s="699">
        <v>5173</v>
      </c>
      <c r="D26" s="696">
        <v>4300</v>
      </c>
      <c r="E26" s="697" t="s">
        <v>116</v>
      </c>
      <c r="F26" s="445">
        <v>250</v>
      </c>
      <c r="G26" s="445">
        <v>250</v>
      </c>
      <c r="H26" s="445">
        <v>250</v>
      </c>
      <c r="I26" s="1373">
        <v>250</v>
      </c>
    </row>
    <row r="27" spans="2:17" ht="15.75" customHeight="1" thickBot="1">
      <c r="B27" s="698" t="s">
        <v>52</v>
      </c>
      <c r="C27" s="699">
        <v>5175</v>
      </c>
      <c r="D27" s="696">
        <v>4300</v>
      </c>
      <c r="E27" s="697" t="s">
        <v>1074</v>
      </c>
      <c r="F27" s="310">
        <v>600</v>
      </c>
      <c r="G27" s="310">
        <v>600</v>
      </c>
      <c r="H27" s="310">
        <v>600</v>
      </c>
      <c r="I27" s="1374">
        <v>600</v>
      </c>
    </row>
    <row r="28" spans="2:17" ht="15.75" customHeight="1" thickBot="1">
      <c r="B28" s="700">
        <v>3319</v>
      </c>
      <c r="C28" s="701">
        <v>5492</v>
      </c>
      <c r="D28" s="702">
        <v>4300</v>
      </c>
      <c r="E28" s="703" t="s">
        <v>1075</v>
      </c>
      <c r="F28" s="310">
        <v>25</v>
      </c>
      <c r="G28" s="310">
        <v>25</v>
      </c>
      <c r="H28" s="310">
        <v>25</v>
      </c>
      <c r="I28" s="1374">
        <v>25</v>
      </c>
    </row>
    <row r="29" spans="2:17" ht="15.75" customHeight="1" thickBot="1">
      <c r="B29" s="698" t="s">
        <v>52</v>
      </c>
      <c r="C29" s="699">
        <v>5194</v>
      </c>
      <c r="D29" s="704">
        <v>4300</v>
      </c>
      <c r="E29" s="697" t="s">
        <v>512</v>
      </c>
      <c r="F29" s="315">
        <v>500</v>
      </c>
      <c r="G29" s="315">
        <v>500</v>
      </c>
      <c r="H29" s="315">
        <v>550</v>
      </c>
      <c r="I29" s="1375">
        <v>550</v>
      </c>
    </row>
    <row r="30" spans="2:17" ht="15.75" customHeight="1" thickBot="1">
      <c r="B30" s="698" t="s">
        <v>52</v>
      </c>
      <c r="C30" s="699">
        <v>5194</v>
      </c>
      <c r="D30" s="696">
        <v>4300</v>
      </c>
      <c r="E30" s="697" t="s">
        <v>1076</v>
      </c>
      <c r="F30" s="310">
        <v>100</v>
      </c>
      <c r="G30" s="310">
        <v>100</v>
      </c>
      <c r="H30" s="310">
        <v>100</v>
      </c>
      <c r="I30" s="1374">
        <v>100</v>
      </c>
    </row>
    <row r="31" spans="2:17" ht="15.75" customHeight="1" thickBot="1">
      <c r="B31" s="705" t="s">
        <v>1077</v>
      </c>
      <c r="C31" s="706" t="s">
        <v>56</v>
      </c>
      <c r="D31" s="707">
        <v>4300</v>
      </c>
      <c r="E31" s="708" t="s">
        <v>1078</v>
      </c>
      <c r="F31" s="445">
        <v>230</v>
      </c>
      <c r="G31" s="445">
        <v>230</v>
      </c>
      <c r="H31" s="445">
        <v>230</v>
      </c>
      <c r="I31" s="1373">
        <v>230</v>
      </c>
    </row>
    <row r="32" spans="2:17" ht="15.75" customHeight="1" thickBot="1">
      <c r="B32" s="705" t="s">
        <v>52</v>
      </c>
      <c r="C32" s="706" t="s">
        <v>82</v>
      </c>
      <c r="D32" s="707">
        <v>4300</v>
      </c>
      <c r="E32" s="708" t="s">
        <v>1079</v>
      </c>
      <c r="F32" s="455">
        <v>2</v>
      </c>
      <c r="G32" s="455">
        <v>2</v>
      </c>
      <c r="H32" s="455">
        <v>2</v>
      </c>
      <c r="I32" s="1376">
        <v>2</v>
      </c>
    </row>
    <row r="33" spans="1:9" ht="15.75" customHeight="1" thickBot="1">
      <c r="B33" s="709" t="s">
        <v>705</v>
      </c>
      <c r="C33" s="710">
        <v>5169</v>
      </c>
      <c r="D33" s="710">
        <v>4300</v>
      </c>
      <c r="E33" s="711" t="s">
        <v>1080</v>
      </c>
      <c r="F33" s="712">
        <v>100</v>
      </c>
      <c r="G33" s="712">
        <v>100</v>
      </c>
      <c r="H33" s="712">
        <v>100</v>
      </c>
      <c r="I33" s="1374">
        <v>100</v>
      </c>
    </row>
    <row r="34" spans="1:9" s="16" customFormat="1" ht="15.75" customHeight="1" thickBot="1">
      <c r="A34" s="209"/>
      <c r="B34" s="714" t="s">
        <v>328</v>
      </c>
      <c r="C34" s="715">
        <v>5136</v>
      </c>
      <c r="D34" s="230">
        <v>4300</v>
      </c>
      <c r="E34" s="452" t="s">
        <v>1081</v>
      </c>
      <c r="F34" s="716">
        <v>300</v>
      </c>
      <c r="G34" s="716">
        <v>300</v>
      </c>
      <c r="H34" s="716">
        <v>232</v>
      </c>
      <c r="I34" s="1377">
        <v>232</v>
      </c>
    </row>
    <row r="35" spans="1:9" s="16" customFormat="1" ht="15.75" customHeight="1" thickBot="1">
      <c r="A35" s="209"/>
      <c r="B35" s="717">
        <v>3399</v>
      </c>
      <c r="C35" s="718">
        <v>5169</v>
      </c>
      <c r="D35" s="281">
        <v>4300</v>
      </c>
      <c r="E35" s="282" t="s">
        <v>1082</v>
      </c>
      <c r="F35" s="445">
        <v>800</v>
      </c>
      <c r="G35" s="445">
        <v>800</v>
      </c>
      <c r="H35" s="445">
        <v>800</v>
      </c>
      <c r="I35" s="1373">
        <v>800</v>
      </c>
    </row>
    <row r="36" spans="1:9" s="16" customFormat="1" ht="15.75" customHeight="1" thickBot="1">
      <c r="A36" s="209"/>
      <c r="B36" s="717">
        <v>3319</v>
      </c>
      <c r="C36" s="718">
        <v>5194</v>
      </c>
      <c r="D36" s="281">
        <v>4300</v>
      </c>
      <c r="E36" s="282" t="s">
        <v>1083</v>
      </c>
      <c r="F36" s="310">
        <v>50</v>
      </c>
      <c r="G36" s="310">
        <v>50</v>
      </c>
      <c r="H36" s="310">
        <v>0</v>
      </c>
      <c r="I36" s="1374">
        <v>0</v>
      </c>
    </row>
    <row r="37" spans="1:9" ht="15.75" customHeight="1" thickBot="1">
      <c r="B37" s="719">
        <v>3399</v>
      </c>
      <c r="C37" s="285">
        <v>5175</v>
      </c>
      <c r="D37" s="61">
        <v>4300</v>
      </c>
      <c r="E37" s="720" t="s">
        <v>1084</v>
      </c>
      <c r="F37" s="445">
        <v>600</v>
      </c>
      <c r="G37" s="445">
        <v>600</v>
      </c>
      <c r="H37" s="445">
        <v>600</v>
      </c>
      <c r="I37" s="1373">
        <v>600</v>
      </c>
    </row>
    <row r="38" spans="1:9" ht="15.75" customHeight="1" thickBot="1">
      <c r="B38" s="698" t="s">
        <v>661</v>
      </c>
      <c r="C38" s="699" t="s">
        <v>56</v>
      </c>
      <c r="D38" s="695">
        <v>4300</v>
      </c>
      <c r="E38" s="697" t="s">
        <v>1085</v>
      </c>
      <c r="F38" s="310">
        <v>200</v>
      </c>
      <c r="G38" s="310">
        <v>200</v>
      </c>
      <c r="H38" s="310">
        <v>200</v>
      </c>
      <c r="I38" s="1374">
        <v>200</v>
      </c>
    </row>
    <row r="39" spans="1:9" ht="15.75" customHeight="1" thickBot="1">
      <c r="B39" s="719">
        <v>2144</v>
      </c>
      <c r="C39" s="285">
        <v>5221</v>
      </c>
      <c r="D39" s="61" t="s">
        <v>1086</v>
      </c>
      <c r="E39" s="442" t="s">
        <v>1087</v>
      </c>
      <c r="F39" s="310">
        <v>200</v>
      </c>
      <c r="G39" s="310">
        <v>200</v>
      </c>
      <c r="H39" s="310">
        <v>200</v>
      </c>
      <c r="I39" s="1374">
        <v>200</v>
      </c>
    </row>
    <row r="40" spans="1:9" ht="15.75" customHeight="1" thickBot="1">
      <c r="B40" s="719">
        <v>6171</v>
      </c>
      <c r="C40" s="285">
        <v>5334</v>
      </c>
      <c r="D40" s="61" t="s">
        <v>1086</v>
      </c>
      <c r="E40" s="442" t="s">
        <v>1088</v>
      </c>
      <c r="F40" s="310">
        <v>500</v>
      </c>
      <c r="G40" s="310">
        <v>500</v>
      </c>
      <c r="H40" s="310">
        <v>0</v>
      </c>
      <c r="I40" s="1374">
        <v>0</v>
      </c>
    </row>
    <row r="41" spans="1:9" ht="15.75" customHeight="1" thickBot="1">
      <c r="B41" s="698" t="s">
        <v>1089</v>
      </c>
      <c r="C41" s="699" t="s">
        <v>56</v>
      </c>
      <c r="D41" s="696">
        <v>5310</v>
      </c>
      <c r="E41" s="697" t="s">
        <v>1090</v>
      </c>
      <c r="F41" s="310">
        <v>200</v>
      </c>
      <c r="G41" s="310">
        <v>200</v>
      </c>
      <c r="H41" s="310">
        <v>0</v>
      </c>
      <c r="I41" s="1374">
        <v>0</v>
      </c>
    </row>
    <row r="42" spans="1:9" ht="15.75" customHeight="1" thickBot="1">
      <c r="A42" s="203">
        <v>501</v>
      </c>
      <c r="B42" s="2069" t="s">
        <v>1091</v>
      </c>
      <c r="C42" s="1961"/>
      <c r="D42" s="1961"/>
      <c r="E42" s="1961"/>
      <c r="F42" s="721">
        <f>SUM(F19:F41)</f>
        <v>5785</v>
      </c>
      <c r="G42" s="721">
        <f>SUM(G19:G41)</f>
        <v>5785</v>
      </c>
      <c r="H42" s="721">
        <f>SUM(H19:H41)</f>
        <v>5017</v>
      </c>
      <c r="I42" s="1378">
        <f>SUM(I19:I41)</f>
        <v>5017</v>
      </c>
    </row>
    <row r="43" spans="1:9" s="16" customFormat="1" ht="15.75" customHeight="1" thickTop="1" thickBot="1">
      <c r="A43" s="203">
        <v>503</v>
      </c>
      <c r="B43" s="734" t="s">
        <v>661</v>
      </c>
      <c r="C43" s="735">
        <v>5221</v>
      </c>
      <c r="D43" s="736" t="s">
        <v>1056</v>
      </c>
      <c r="E43" s="737" t="s">
        <v>1057</v>
      </c>
      <c r="F43" s="738">
        <v>16011.26</v>
      </c>
      <c r="G43" s="738">
        <f>16011.26-694.00738+1724.83488</f>
        <v>17042.087499999998</v>
      </c>
      <c r="H43" s="738">
        <v>15000</v>
      </c>
      <c r="I43" s="1379">
        <v>15000</v>
      </c>
    </row>
    <row r="44" spans="1:9" s="16" customFormat="1" ht="15.75" customHeight="1" thickTop="1" thickBot="1">
      <c r="A44" s="203">
        <v>504</v>
      </c>
      <c r="B44" s="729">
        <v>6171</v>
      </c>
      <c r="C44" s="730">
        <v>5169</v>
      </c>
      <c r="D44" s="731" t="s">
        <v>1092</v>
      </c>
      <c r="E44" s="732" t="s">
        <v>1093</v>
      </c>
      <c r="F44" s="733">
        <v>1500</v>
      </c>
      <c r="G44" s="733">
        <v>1500</v>
      </c>
      <c r="H44" s="733">
        <v>1500</v>
      </c>
      <c r="I44" s="1380">
        <v>1500</v>
      </c>
    </row>
    <row r="45" spans="1:9" s="286" customFormat="1" ht="6" customHeight="1" thickTop="1" thickBot="1">
      <c r="A45" s="239"/>
      <c r="B45" s="21"/>
      <c r="C45" s="21"/>
      <c r="D45" s="21"/>
      <c r="E45" s="20"/>
      <c r="F45" s="722"/>
      <c r="G45" s="722"/>
      <c r="H45" s="722"/>
      <c r="I45" s="722"/>
    </row>
    <row r="46" spans="1:9" s="16" customFormat="1" ht="15.75" customHeight="1" thickTop="1" thickBot="1">
      <c r="A46" s="209"/>
      <c r="B46" s="723"/>
      <c r="C46" s="723"/>
      <c r="E46" s="15" t="s">
        <v>30</v>
      </c>
      <c r="F46" s="724">
        <f>SUM(F17,F42:F43,F44)</f>
        <v>23796.260000000002</v>
      </c>
      <c r="G46" s="724">
        <f>SUM(G17,G42:G43,G44)</f>
        <v>24827.087499999998</v>
      </c>
      <c r="H46" s="724">
        <f>SUM(H17,H42:H43,H44)</f>
        <v>22017</v>
      </c>
      <c r="I46" s="1395">
        <f>SUM(I17,I42:I43,I44)</f>
        <v>22017</v>
      </c>
    </row>
    <row r="47" spans="1:9" ht="10.5" customHeight="1" thickTop="1"/>
    <row r="48" spans="1:9" s="46" customFormat="1" ht="10.5" customHeight="1">
      <c r="A48" s="10"/>
      <c r="B48" s="12"/>
      <c r="C48" s="12"/>
      <c r="D48" s="12"/>
      <c r="E48" s="12"/>
      <c r="F48" s="122"/>
      <c r="G48" s="122"/>
      <c r="H48" s="122"/>
      <c r="I48" s="122"/>
    </row>
    <row r="49" spans="1:9" s="46" customFormat="1" ht="10.5" customHeight="1">
      <c r="A49" s="10"/>
      <c r="B49" s="12"/>
      <c r="C49" s="12"/>
      <c r="D49" s="12"/>
      <c r="E49" s="12"/>
      <c r="F49" s="122"/>
      <c r="G49" s="122"/>
      <c r="H49" s="122"/>
      <c r="I49" s="122"/>
    </row>
    <row r="50" spans="1:9" s="46" customFormat="1" ht="10.5" customHeight="1">
      <c r="A50" s="10"/>
      <c r="B50" s="12"/>
      <c r="C50" s="12"/>
      <c r="D50" s="12"/>
      <c r="E50" s="12"/>
      <c r="F50" s="122"/>
      <c r="G50" s="122"/>
      <c r="H50" s="122"/>
      <c r="I50" s="122"/>
    </row>
    <row r="51" spans="1:9" s="46" customFormat="1" ht="10.5" customHeight="1" thickBot="1">
      <c r="A51" s="10"/>
      <c r="B51" s="12"/>
      <c r="C51" s="12"/>
      <c r="D51" s="12"/>
      <c r="E51" s="12"/>
      <c r="F51" s="122"/>
      <c r="G51" s="122"/>
      <c r="H51" s="122"/>
      <c r="I51" s="122"/>
    </row>
    <row r="52" spans="1:9" s="46" customFormat="1" ht="10.5" customHeight="1" thickTop="1">
      <c r="A52" s="10"/>
      <c r="B52" s="837"/>
      <c r="C52" s="40"/>
      <c r="D52" s="40"/>
      <c r="E52" s="38"/>
      <c r="F52" s="1965" t="s">
        <v>44</v>
      </c>
      <c r="G52" s="1965" t="s">
        <v>43</v>
      </c>
      <c r="H52" s="1962" t="s">
        <v>1487</v>
      </c>
      <c r="I52" s="1971" t="s">
        <v>1488</v>
      </c>
    </row>
    <row r="53" spans="1:9" s="46" customFormat="1" ht="10.5" customHeight="1">
      <c r="A53" s="10"/>
      <c r="B53" s="838" t="s">
        <v>42</v>
      </c>
      <c r="C53" s="35" t="s">
        <v>41</v>
      </c>
      <c r="D53" s="35" t="s">
        <v>40</v>
      </c>
      <c r="E53" s="33"/>
      <c r="F53" s="1966"/>
      <c r="G53" s="1966"/>
      <c r="H53" s="1963"/>
      <c r="I53" s="1972"/>
    </row>
    <row r="54" spans="1:9" s="46" customFormat="1" ht="20.25" customHeight="1" thickBot="1">
      <c r="A54" s="10"/>
      <c r="B54" s="839"/>
      <c r="C54" s="30"/>
      <c r="D54" s="30"/>
      <c r="E54" s="28" t="s">
        <v>38</v>
      </c>
      <c r="F54" s="1967"/>
      <c r="G54" s="1967"/>
      <c r="H54" s="1964"/>
      <c r="I54" s="1973"/>
    </row>
    <row r="55" spans="1:9" s="107" customFormat="1" ht="15.75" customHeight="1" thickTop="1" thickBot="1">
      <c r="A55" s="108"/>
      <c r="B55" s="946" t="s">
        <v>52</v>
      </c>
      <c r="C55" s="947" t="s">
        <v>1542</v>
      </c>
      <c r="D55" s="947" t="s">
        <v>1055</v>
      </c>
      <c r="E55" s="948" t="s">
        <v>1204</v>
      </c>
      <c r="F55" s="960">
        <v>0</v>
      </c>
      <c r="G55" s="960">
        <v>0</v>
      </c>
      <c r="H55" s="960">
        <v>100</v>
      </c>
      <c r="I55" s="1401">
        <v>100</v>
      </c>
    </row>
    <row r="56" spans="1:9" s="286" customFormat="1" ht="6" customHeight="1" thickTop="1" thickBot="1">
      <c r="A56" s="239"/>
      <c r="B56" s="21"/>
      <c r="C56" s="21"/>
      <c r="D56" s="21"/>
      <c r="E56" s="20"/>
      <c r="F56" s="1532"/>
      <c r="G56" s="1532"/>
      <c r="H56" s="1532"/>
      <c r="I56" s="1532"/>
    </row>
    <row r="57" spans="1:9" s="46" customFormat="1" ht="15.75" customHeight="1" thickTop="1" thickBot="1">
      <c r="A57" s="10"/>
      <c r="B57" s="12"/>
      <c r="C57" s="12"/>
      <c r="D57" s="12"/>
      <c r="E57" s="15" t="s">
        <v>32</v>
      </c>
      <c r="F57" s="1533">
        <f>SUM(F55:F55)</f>
        <v>0</v>
      </c>
      <c r="G57" s="1533">
        <f>SUM(G55:G55)</f>
        <v>0</v>
      </c>
      <c r="H57" s="1533">
        <f>SUM(H55:H55)</f>
        <v>100</v>
      </c>
      <c r="I57" s="1534">
        <f>SUM(I55:I55)</f>
        <v>100</v>
      </c>
    </row>
    <row r="58" spans="1:9" s="286" customFormat="1" ht="7.5" customHeight="1" thickTop="1" thickBot="1">
      <c r="A58" s="239"/>
      <c r="B58" s="21"/>
      <c r="C58" s="21"/>
      <c r="D58" s="21"/>
      <c r="E58" s="20"/>
      <c r="F58" s="722"/>
      <c r="G58" s="722"/>
      <c r="H58" s="722"/>
      <c r="I58" s="722"/>
    </row>
    <row r="59" spans="1:9" s="155" customFormat="1" ht="15.75" customHeight="1" thickTop="1" thickBot="1">
      <c r="A59" s="203"/>
      <c r="B59" s="725"/>
      <c r="C59" s="177"/>
      <c r="D59" s="8"/>
      <c r="E59" s="8" t="s">
        <v>1094</v>
      </c>
      <c r="F59" s="123">
        <f>SUM(F46,F57)</f>
        <v>23796.260000000002</v>
      </c>
      <c r="G59" s="123">
        <f>SUM(G46,G57)</f>
        <v>24827.087499999998</v>
      </c>
      <c r="H59" s="123">
        <f>SUM(H46,H57)</f>
        <v>22117</v>
      </c>
      <c r="I59" s="154">
        <f>SUM(I46,I57)</f>
        <v>22117</v>
      </c>
    </row>
    <row r="60" spans="1:9" ht="15.75" customHeight="1" thickTop="1"/>
    <row r="61" spans="1:9" ht="15.75" customHeight="1"/>
    <row r="62" spans="1:9" ht="15.75" customHeight="1">
      <c r="B62" s="160"/>
      <c r="C62" s="160"/>
      <c r="D62" s="3"/>
      <c r="E62" s="3"/>
      <c r="F62" s="2"/>
      <c r="G62" s="2"/>
      <c r="H62" s="2"/>
      <c r="I62" s="2"/>
    </row>
    <row r="63" spans="1:9" ht="15.75" customHeight="1">
      <c r="B63" s="160"/>
      <c r="C63" s="160"/>
      <c r="D63" s="3"/>
      <c r="E63" s="3"/>
      <c r="F63" s="2"/>
      <c r="G63" s="2"/>
      <c r="H63" s="2"/>
      <c r="I63" s="2"/>
    </row>
    <row r="64" spans="1:9" ht="15.75" customHeight="1">
      <c r="B64" s="160"/>
      <c r="C64" s="160"/>
      <c r="D64" s="3"/>
      <c r="E64" s="3"/>
      <c r="F64" s="2"/>
      <c r="G64" s="2"/>
      <c r="H64" s="2"/>
      <c r="I64" s="2"/>
    </row>
    <row r="65" spans="1:10" ht="15.75" customHeight="1">
      <c r="B65" s="160"/>
      <c r="C65" s="160"/>
      <c r="D65" s="3"/>
      <c r="E65" s="3"/>
      <c r="F65" s="2"/>
      <c r="G65" s="2"/>
      <c r="H65" s="2"/>
      <c r="I65" s="2"/>
    </row>
    <row r="66" spans="1:10" ht="15.75" customHeight="1">
      <c r="B66" s="160"/>
      <c r="C66" s="160"/>
      <c r="D66" s="3"/>
      <c r="E66" s="3"/>
      <c r="F66" s="2"/>
      <c r="G66" s="2"/>
      <c r="H66" s="2"/>
      <c r="I66" s="2"/>
    </row>
    <row r="67" spans="1:10" ht="15.75" customHeight="1">
      <c r="B67" s="160"/>
      <c r="C67" s="160"/>
      <c r="D67" s="3"/>
      <c r="E67" s="3"/>
      <c r="F67" s="2"/>
      <c r="G67" s="2"/>
      <c r="H67" s="2"/>
      <c r="I67" s="2"/>
    </row>
    <row r="68" spans="1:10" ht="15.75" customHeight="1">
      <c r="B68" s="160"/>
      <c r="C68" s="160"/>
      <c r="D68" s="3"/>
      <c r="E68" s="3"/>
      <c r="F68" s="2"/>
      <c r="G68" s="2"/>
      <c r="H68" s="2"/>
      <c r="I68" s="2"/>
    </row>
    <row r="69" spans="1:10" ht="15.75" customHeight="1">
      <c r="B69" s="160"/>
      <c r="C69" s="160"/>
      <c r="D69" s="3"/>
      <c r="E69" s="3"/>
      <c r="F69" s="2"/>
      <c r="G69" s="2"/>
      <c r="H69" s="2"/>
      <c r="I69" s="2"/>
    </row>
    <row r="70" spans="1:10" s="678" customFormat="1" ht="15.75" customHeight="1">
      <c r="A70" s="203"/>
      <c r="B70" s="160"/>
      <c r="C70" s="160"/>
      <c r="D70" s="3"/>
      <c r="E70" s="3"/>
      <c r="F70" s="2"/>
      <c r="G70" s="2"/>
      <c r="H70" s="2"/>
      <c r="I70" s="2"/>
      <c r="J70" s="12"/>
    </row>
    <row r="71" spans="1:10" s="678" customFormat="1" ht="15.75" customHeight="1">
      <c r="A71" s="203"/>
      <c r="B71" s="160"/>
      <c r="C71" s="160"/>
      <c r="D71" s="3"/>
      <c r="E71" s="3"/>
      <c r="F71" s="2"/>
      <c r="G71" s="2"/>
      <c r="H71" s="2"/>
      <c r="I71" s="2"/>
      <c r="J71" s="12"/>
    </row>
    <row r="72" spans="1:10" s="678" customFormat="1" ht="15.75" customHeight="1">
      <c r="A72" s="203"/>
      <c r="B72" s="160"/>
      <c r="C72" s="160"/>
      <c r="D72" s="3"/>
      <c r="E72" s="3"/>
      <c r="F72" s="2"/>
      <c r="G72" s="2"/>
      <c r="H72" s="2"/>
      <c r="I72" s="2"/>
      <c r="J72" s="12"/>
    </row>
    <row r="73" spans="1:10" s="678" customFormat="1" ht="15.75" customHeight="1">
      <c r="A73" s="203"/>
      <c r="B73" s="160"/>
      <c r="C73" s="160"/>
      <c r="D73" s="3"/>
      <c r="E73" s="3"/>
      <c r="F73" s="2"/>
      <c r="G73" s="2"/>
      <c r="H73" s="2"/>
      <c r="I73" s="2"/>
      <c r="J73" s="12"/>
    </row>
    <row r="74" spans="1:10" s="678" customFormat="1" ht="15.75" customHeight="1">
      <c r="A74" s="203"/>
      <c r="B74" s="160"/>
      <c r="C74" s="160"/>
      <c r="D74" s="3"/>
      <c r="E74" s="3"/>
      <c r="F74" s="2"/>
      <c r="G74" s="2"/>
      <c r="H74" s="2"/>
      <c r="I74" s="2"/>
      <c r="J74" s="12"/>
    </row>
    <row r="75" spans="1:10" s="678" customFormat="1" ht="15.75" customHeight="1">
      <c r="A75" s="203"/>
      <c r="B75" s="160"/>
      <c r="C75" s="160"/>
      <c r="D75" s="3"/>
      <c r="E75" s="3"/>
      <c r="F75" s="2"/>
      <c r="G75" s="2"/>
      <c r="H75" s="2"/>
      <c r="I75" s="2"/>
      <c r="J75" s="12"/>
    </row>
    <row r="76" spans="1:10" s="678" customFormat="1" ht="15.75" customHeight="1">
      <c r="A76" s="203"/>
      <c r="B76" s="160"/>
      <c r="C76" s="160"/>
      <c r="D76" s="3"/>
      <c r="E76" s="3"/>
      <c r="F76" s="2"/>
      <c r="G76" s="2"/>
      <c r="H76" s="2"/>
      <c r="I76" s="2"/>
      <c r="J76" s="12"/>
    </row>
    <row r="77" spans="1:10" s="678" customFormat="1" ht="15.75" customHeight="1">
      <c r="A77" s="203"/>
      <c r="B77" s="160"/>
      <c r="C77" s="160"/>
      <c r="D77" s="3"/>
      <c r="E77" s="3"/>
      <c r="F77" s="2"/>
      <c r="G77" s="2"/>
      <c r="H77" s="2"/>
      <c r="I77" s="2"/>
      <c r="J77" s="12"/>
    </row>
    <row r="78" spans="1:10" s="678" customFormat="1" ht="15.75" customHeight="1">
      <c r="A78" s="203"/>
      <c r="B78" s="160"/>
      <c r="C78" s="160"/>
      <c r="D78" s="3"/>
      <c r="E78" s="3"/>
      <c r="F78" s="2"/>
      <c r="G78" s="2"/>
      <c r="H78" s="2"/>
      <c r="I78" s="2"/>
      <c r="J78" s="12"/>
    </row>
    <row r="79" spans="1:10" s="678" customFormat="1" ht="15.75" customHeight="1">
      <c r="A79" s="203"/>
      <c r="B79" s="160"/>
      <c r="C79" s="160"/>
      <c r="D79" s="3"/>
      <c r="E79" s="3"/>
      <c r="F79" s="2"/>
      <c r="G79" s="2"/>
      <c r="H79" s="2"/>
      <c r="I79" s="2"/>
      <c r="J79" s="12"/>
    </row>
    <row r="80" spans="1:10" s="678" customFormat="1" ht="15.75" customHeight="1">
      <c r="A80" s="203"/>
      <c r="B80" s="160"/>
      <c r="C80" s="160"/>
      <c r="D80" s="3"/>
      <c r="E80" s="3"/>
      <c r="F80" s="2"/>
      <c r="G80" s="2"/>
      <c r="H80" s="2"/>
      <c r="I80" s="2"/>
      <c r="J80" s="12"/>
    </row>
    <row r="81" spans="1:10" s="678" customFormat="1" ht="15.75" customHeight="1">
      <c r="A81" s="203"/>
      <c r="B81" s="160"/>
      <c r="C81" s="160"/>
      <c r="D81" s="3"/>
      <c r="E81" s="3"/>
      <c r="F81" s="2"/>
      <c r="G81" s="2"/>
      <c r="H81" s="2"/>
      <c r="I81" s="2"/>
      <c r="J81" s="12"/>
    </row>
    <row r="82" spans="1:10" s="678" customFormat="1" ht="15.75" customHeight="1">
      <c r="A82" s="203"/>
      <c r="B82" s="160"/>
      <c r="C82" s="160"/>
      <c r="D82" s="3"/>
      <c r="E82" s="3"/>
      <c r="F82" s="2"/>
      <c r="G82" s="2"/>
      <c r="H82" s="2"/>
      <c r="I82" s="2"/>
      <c r="J82" s="12"/>
    </row>
    <row r="83" spans="1:10" s="678" customFormat="1" ht="15.75" customHeight="1">
      <c r="A83" s="203"/>
      <c r="B83" s="160"/>
      <c r="C83" s="160"/>
      <c r="D83" s="3"/>
      <c r="E83" s="3"/>
      <c r="F83" s="2"/>
      <c r="G83" s="2"/>
      <c r="H83" s="2"/>
      <c r="I83" s="2"/>
      <c r="J83" s="12"/>
    </row>
    <row r="84" spans="1:10" s="678" customFormat="1" ht="15.75" customHeight="1">
      <c r="A84" s="203"/>
      <c r="B84" s="160"/>
      <c r="C84" s="160"/>
      <c r="D84" s="3"/>
      <c r="E84" s="3"/>
      <c r="F84" s="2"/>
      <c r="G84" s="2"/>
      <c r="H84" s="2"/>
      <c r="I84" s="2"/>
      <c r="J84" s="12"/>
    </row>
    <row r="85" spans="1:10" s="678" customFormat="1" ht="15.75" customHeight="1">
      <c r="A85" s="203"/>
      <c r="B85" s="160"/>
      <c r="C85" s="160"/>
      <c r="D85" s="3"/>
      <c r="E85" s="3"/>
      <c r="F85" s="2"/>
      <c r="G85" s="2"/>
      <c r="H85" s="2"/>
      <c r="I85" s="2"/>
      <c r="J85" s="12"/>
    </row>
    <row r="86" spans="1:10" s="678" customFormat="1" ht="15.75" customHeight="1">
      <c r="A86" s="203"/>
      <c r="B86" s="160"/>
      <c r="C86" s="160"/>
      <c r="D86" s="3"/>
      <c r="E86" s="3"/>
      <c r="F86" s="2"/>
      <c r="G86" s="2"/>
      <c r="H86" s="2"/>
      <c r="I86" s="2"/>
      <c r="J86" s="12"/>
    </row>
    <row r="87" spans="1:10" s="678" customFormat="1" ht="15.75" customHeight="1">
      <c r="A87" s="203"/>
      <c r="B87" s="160"/>
      <c r="C87" s="160"/>
      <c r="D87" s="3"/>
      <c r="E87" s="3"/>
      <c r="F87" s="2"/>
      <c r="G87" s="2"/>
      <c r="H87" s="2"/>
      <c r="I87" s="2"/>
      <c r="J87" s="12"/>
    </row>
    <row r="88" spans="1:10" s="678" customFormat="1" ht="15.75" customHeight="1">
      <c r="A88" s="203"/>
      <c r="B88" s="160"/>
      <c r="C88" s="160"/>
      <c r="D88" s="3"/>
      <c r="E88" s="3"/>
      <c r="F88" s="2"/>
      <c r="G88" s="2"/>
      <c r="H88" s="2"/>
      <c r="I88" s="2"/>
      <c r="J88" s="12"/>
    </row>
    <row r="89" spans="1:10" s="678" customFormat="1" ht="15.75" customHeight="1">
      <c r="A89" s="203"/>
      <c r="B89" s="160"/>
      <c r="C89" s="160"/>
      <c r="D89" s="3"/>
      <c r="E89" s="3"/>
      <c r="F89" s="2"/>
      <c r="G89" s="2"/>
      <c r="H89" s="2"/>
      <c r="I89" s="2"/>
      <c r="J89" s="12"/>
    </row>
    <row r="90" spans="1:10" s="678" customFormat="1" ht="15.75" customHeight="1">
      <c r="A90" s="203"/>
      <c r="B90" s="160"/>
      <c r="C90" s="160"/>
      <c r="D90" s="3"/>
      <c r="E90" s="3"/>
      <c r="F90" s="2"/>
      <c r="G90" s="2"/>
      <c r="H90" s="2"/>
      <c r="I90" s="2"/>
      <c r="J90" s="12"/>
    </row>
    <row r="91" spans="1:10" s="678" customFormat="1" ht="15.75" customHeight="1">
      <c r="A91" s="203"/>
      <c r="B91" s="160"/>
      <c r="C91" s="160"/>
      <c r="D91" s="3"/>
      <c r="E91" s="3"/>
      <c r="F91" s="2"/>
      <c r="G91" s="2"/>
      <c r="H91" s="2"/>
      <c r="I91" s="2"/>
      <c r="J91" s="12"/>
    </row>
    <row r="92" spans="1:10" s="678" customFormat="1" ht="15.75" customHeight="1">
      <c r="A92" s="203"/>
      <c r="B92" s="160"/>
      <c r="C92" s="160"/>
      <c r="D92" s="3"/>
      <c r="E92" s="3"/>
      <c r="F92" s="2"/>
      <c r="G92" s="2"/>
      <c r="H92" s="2"/>
      <c r="I92" s="2"/>
      <c r="J92" s="12"/>
    </row>
    <row r="93" spans="1:10" s="678" customFormat="1" ht="15.75" customHeight="1">
      <c r="A93" s="203"/>
      <c r="B93" s="160"/>
      <c r="C93" s="160"/>
      <c r="D93" s="3"/>
      <c r="E93" s="3"/>
      <c r="F93" s="2"/>
      <c r="G93" s="2"/>
      <c r="H93" s="2"/>
      <c r="I93" s="2"/>
      <c r="J93" s="12"/>
    </row>
    <row r="94" spans="1:10" s="678" customFormat="1" ht="15.75" customHeight="1">
      <c r="A94" s="203"/>
      <c r="B94" s="160"/>
      <c r="C94" s="160"/>
      <c r="D94" s="3"/>
      <c r="E94" s="3"/>
      <c r="F94" s="2"/>
      <c r="G94" s="2"/>
      <c r="H94" s="2"/>
      <c r="I94" s="2"/>
      <c r="J94" s="12"/>
    </row>
    <row r="95" spans="1:10" s="678" customFormat="1" ht="15.75" customHeight="1">
      <c r="A95" s="203"/>
      <c r="B95" s="160"/>
      <c r="C95" s="160"/>
      <c r="D95" s="3"/>
      <c r="E95" s="3"/>
      <c r="F95" s="2"/>
      <c r="G95" s="2"/>
      <c r="H95" s="2"/>
      <c r="I95" s="2"/>
      <c r="J95" s="12"/>
    </row>
    <row r="96" spans="1:10" s="678" customFormat="1" ht="15.75" customHeight="1">
      <c r="A96" s="203"/>
      <c r="B96" s="160"/>
      <c r="C96" s="160"/>
      <c r="D96" s="3"/>
      <c r="E96" s="3"/>
      <c r="F96" s="2"/>
      <c r="G96" s="2"/>
      <c r="H96" s="2"/>
      <c r="I96" s="2"/>
      <c r="J96" s="12"/>
    </row>
    <row r="97" spans="1:10" s="678" customFormat="1" ht="15.75" customHeight="1">
      <c r="A97" s="203"/>
      <c r="B97" s="160"/>
      <c r="C97" s="160"/>
      <c r="D97" s="3"/>
      <c r="E97" s="3"/>
      <c r="F97" s="2"/>
      <c r="G97" s="2"/>
      <c r="H97" s="2"/>
      <c r="I97" s="2"/>
      <c r="J97" s="12"/>
    </row>
    <row r="98" spans="1:10" s="678" customFormat="1" ht="15.75" customHeight="1">
      <c r="A98" s="203"/>
      <c r="B98" s="160"/>
      <c r="C98" s="160"/>
      <c r="D98" s="3"/>
      <c r="E98" s="3"/>
      <c r="F98" s="2"/>
      <c r="G98" s="2"/>
      <c r="H98" s="2"/>
      <c r="I98" s="2"/>
      <c r="J98" s="12"/>
    </row>
    <row r="99" spans="1:10" s="678" customFormat="1" ht="15.75" customHeight="1">
      <c r="A99" s="203"/>
      <c r="B99" s="160"/>
      <c r="C99" s="160"/>
      <c r="D99" s="3"/>
      <c r="E99" s="3"/>
      <c r="F99" s="2"/>
      <c r="G99" s="2"/>
      <c r="H99" s="2"/>
      <c r="I99" s="2"/>
      <c r="J99" s="12"/>
    </row>
    <row r="100" spans="1:10" s="678" customFormat="1" ht="15.75" customHeight="1">
      <c r="A100" s="203"/>
      <c r="B100" s="160"/>
      <c r="C100" s="160"/>
      <c r="D100" s="3"/>
      <c r="E100" s="3"/>
      <c r="F100" s="2"/>
      <c r="G100" s="2"/>
      <c r="H100" s="2"/>
      <c r="I100" s="2"/>
      <c r="J100" s="12"/>
    </row>
    <row r="101" spans="1:10" s="678" customFormat="1" ht="15.75" customHeight="1">
      <c r="A101" s="203"/>
      <c r="B101" s="160"/>
      <c r="C101" s="160"/>
      <c r="D101" s="3"/>
      <c r="E101" s="3"/>
      <c r="F101" s="2"/>
      <c r="G101" s="2"/>
      <c r="H101" s="2"/>
      <c r="I101" s="2"/>
      <c r="J101" s="12"/>
    </row>
    <row r="102" spans="1:10" s="678" customFormat="1" ht="15.75" customHeight="1">
      <c r="A102" s="203"/>
      <c r="B102" s="160"/>
      <c r="C102" s="160"/>
      <c r="D102" s="3"/>
      <c r="E102" s="3"/>
      <c r="F102" s="2"/>
      <c r="G102" s="2"/>
      <c r="H102" s="2"/>
      <c r="I102" s="2"/>
      <c r="J102" s="12"/>
    </row>
    <row r="103" spans="1:10" s="678" customFormat="1" ht="15.75" customHeight="1">
      <c r="A103" s="203"/>
      <c r="B103" s="160"/>
      <c r="C103" s="160"/>
      <c r="D103" s="3"/>
      <c r="E103" s="3"/>
      <c r="F103" s="2"/>
      <c r="G103" s="2"/>
      <c r="H103" s="2"/>
      <c r="I103" s="2"/>
      <c r="J103" s="12"/>
    </row>
    <row r="104" spans="1:10" s="678" customFormat="1" ht="15.75" customHeight="1">
      <c r="A104" s="203"/>
      <c r="B104" s="160"/>
      <c r="C104" s="160"/>
      <c r="D104" s="3"/>
      <c r="E104" s="3"/>
      <c r="F104" s="2"/>
      <c r="G104" s="2"/>
      <c r="H104" s="2"/>
      <c r="I104" s="2"/>
      <c r="J104" s="12"/>
    </row>
    <row r="105" spans="1:10" s="678" customFormat="1" ht="15.75" customHeight="1">
      <c r="A105" s="203"/>
      <c r="B105" s="160"/>
      <c r="C105" s="160"/>
      <c r="D105" s="3"/>
      <c r="E105" s="3"/>
      <c r="F105" s="2"/>
      <c r="G105" s="2"/>
      <c r="H105" s="2"/>
      <c r="I105" s="2"/>
      <c r="J105" s="12"/>
    </row>
    <row r="106" spans="1:10" s="678" customFormat="1" ht="15.75" customHeight="1">
      <c r="A106" s="203"/>
      <c r="B106" s="160"/>
      <c r="C106" s="160"/>
      <c r="D106" s="3"/>
      <c r="E106" s="3"/>
      <c r="F106" s="2"/>
      <c r="G106" s="2"/>
      <c r="H106" s="2"/>
      <c r="I106" s="2"/>
      <c r="J106" s="12"/>
    </row>
    <row r="107" spans="1:10" s="678" customFormat="1" ht="15.75" customHeight="1">
      <c r="A107" s="203"/>
      <c r="B107" s="160"/>
      <c r="C107" s="160"/>
      <c r="D107" s="3"/>
      <c r="E107" s="3"/>
      <c r="F107" s="2"/>
      <c r="G107" s="2"/>
      <c r="H107" s="2"/>
      <c r="I107" s="2"/>
      <c r="J107" s="12"/>
    </row>
    <row r="108" spans="1:10" s="678" customFormat="1" ht="15.75" customHeight="1">
      <c r="A108" s="203"/>
      <c r="B108" s="160"/>
      <c r="C108" s="160"/>
      <c r="D108" s="3"/>
      <c r="E108" s="3"/>
      <c r="F108" s="2"/>
      <c r="G108" s="2"/>
      <c r="H108" s="2"/>
      <c r="I108" s="2"/>
      <c r="J108" s="12"/>
    </row>
    <row r="109" spans="1:10" s="678" customFormat="1" ht="15.75" customHeight="1">
      <c r="A109" s="203"/>
      <c r="B109" s="160"/>
      <c r="C109" s="160"/>
      <c r="D109" s="3"/>
      <c r="E109" s="3"/>
      <c r="F109" s="2"/>
      <c r="G109" s="2"/>
      <c r="H109" s="2"/>
      <c r="I109" s="2"/>
      <c r="J109" s="12"/>
    </row>
    <row r="110" spans="1:10" s="678" customFormat="1" ht="15.75" customHeight="1">
      <c r="A110" s="203"/>
      <c r="B110" s="160"/>
      <c r="C110" s="160"/>
      <c r="D110" s="3"/>
      <c r="E110" s="3"/>
      <c r="F110" s="2"/>
      <c r="G110" s="2"/>
      <c r="H110" s="2"/>
      <c r="I110" s="2"/>
      <c r="J110" s="12"/>
    </row>
    <row r="111" spans="1:10" s="678" customFormat="1">
      <c r="A111" s="203"/>
      <c r="B111" s="160"/>
      <c r="C111" s="160"/>
      <c r="D111" s="3"/>
      <c r="E111" s="3"/>
      <c r="F111" s="2"/>
      <c r="G111" s="2"/>
      <c r="H111" s="2"/>
      <c r="I111" s="2"/>
      <c r="J111" s="12"/>
    </row>
    <row r="112" spans="1:10" s="678" customFormat="1">
      <c r="A112" s="203"/>
      <c r="B112" s="160"/>
      <c r="C112" s="160"/>
      <c r="D112" s="3"/>
      <c r="E112" s="3"/>
      <c r="F112" s="2"/>
      <c r="G112" s="2"/>
      <c r="H112" s="2"/>
      <c r="I112" s="2"/>
      <c r="J112" s="12"/>
    </row>
    <row r="113" spans="1:10" s="678" customFormat="1">
      <c r="A113" s="203"/>
      <c r="B113" s="160"/>
      <c r="C113" s="160"/>
      <c r="D113" s="3"/>
      <c r="E113" s="3"/>
      <c r="F113" s="2"/>
      <c r="G113" s="2"/>
      <c r="H113" s="2"/>
      <c r="I113" s="2"/>
      <c r="J113" s="12"/>
    </row>
    <row r="114" spans="1:10" s="678" customFormat="1">
      <c r="A114" s="203"/>
      <c r="B114" s="160"/>
      <c r="C114" s="160"/>
      <c r="D114" s="3"/>
      <c r="E114" s="3"/>
      <c r="F114" s="2"/>
      <c r="G114" s="2"/>
      <c r="H114" s="2"/>
      <c r="I114" s="2"/>
      <c r="J114" s="12"/>
    </row>
    <row r="115" spans="1:10" s="678" customFormat="1">
      <c r="A115" s="203"/>
      <c r="B115" s="160"/>
      <c r="C115" s="160"/>
      <c r="D115" s="3"/>
      <c r="E115" s="3"/>
      <c r="F115" s="2"/>
      <c r="G115" s="2"/>
      <c r="H115" s="2"/>
      <c r="I115" s="2"/>
      <c r="J115" s="12"/>
    </row>
    <row r="116" spans="1:10" s="678" customFormat="1">
      <c r="A116" s="203"/>
      <c r="B116" s="160"/>
      <c r="C116" s="160"/>
      <c r="D116" s="3"/>
      <c r="E116" s="3"/>
      <c r="F116" s="2"/>
      <c r="G116" s="2"/>
      <c r="H116" s="2"/>
      <c r="I116" s="2"/>
      <c r="J116" s="12"/>
    </row>
    <row r="117" spans="1:10" s="678" customFormat="1">
      <c r="A117" s="203"/>
      <c r="B117" s="160"/>
      <c r="C117" s="160"/>
      <c r="D117" s="3"/>
      <c r="E117" s="3"/>
      <c r="F117" s="2"/>
      <c r="G117" s="2"/>
      <c r="H117" s="2"/>
      <c r="I117" s="2"/>
      <c r="J117" s="12"/>
    </row>
    <row r="118" spans="1:10" s="678" customFormat="1">
      <c r="A118" s="203"/>
      <c r="B118" s="160"/>
      <c r="C118" s="160"/>
      <c r="D118" s="3"/>
      <c r="E118" s="3"/>
      <c r="F118" s="2"/>
      <c r="G118" s="2"/>
      <c r="H118" s="2"/>
      <c r="I118" s="2"/>
      <c r="J118" s="12"/>
    </row>
    <row r="119" spans="1:10" s="678" customFormat="1">
      <c r="A119" s="203"/>
      <c r="B119" s="160"/>
      <c r="C119" s="160"/>
      <c r="D119" s="3"/>
      <c r="E119" s="3"/>
      <c r="F119" s="2"/>
      <c r="G119" s="2"/>
      <c r="H119" s="2"/>
      <c r="I119" s="2"/>
      <c r="J119" s="12"/>
    </row>
    <row r="120" spans="1:10" s="678" customFormat="1">
      <c r="A120" s="203"/>
      <c r="B120" s="160"/>
      <c r="C120" s="160"/>
      <c r="D120" s="3"/>
      <c r="E120" s="3"/>
      <c r="F120" s="2"/>
      <c r="G120" s="2"/>
      <c r="H120" s="2"/>
      <c r="I120" s="2"/>
      <c r="J120" s="12"/>
    </row>
    <row r="121" spans="1:10" s="678" customFormat="1">
      <c r="A121" s="203"/>
      <c r="B121" s="160"/>
      <c r="C121" s="160"/>
      <c r="D121" s="3"/>
      <c r="E121" s="3"/>
      <c r="F121" s="2"/>
      <c r="G121" s="2"/>
      <c r="H121" s="2"/>
      <c r="I121" s="2"/>
      <c r="J121" s="12"/>
    </row>
    <row r="122" spans="1:10" s="678" customFormat="1">
      <c r="A122" s="203"/>
      <c r="B122" s="160"/>
      <c r="C122" s="160"/>
      <c r="D122" s="3"/>
      <c r="E122" s="3"/>
      <c r="F122" s="2"/>
      <c r="G122" s="2"/>
      <c r="H122" s="2"/>
      <c r="I122" s="2"/>
      <c r="J122" s="12"/>
    </row>
    <row r="123" spans="1:10" s="678" customFormat="1">
      <c r="A123" s="203"/>
      <c r="B123" s="160"/>
      <c r="C123" s="160"/>
      <c r="D123" s="3"/>
      <c r="E123" s="3"/>
      <c r="F123" s="2"/>
      <c r="G123" s="2"/>
      <c r="H123" s="2"/>
      <c r="I123" s="2"/>
      <c r="J123" s="12"/>
    </row>
    <row r="124" spans="1:10" s="678" customFormat="1">
      <c r="A124" s="203"/>
      <c r="B124" s="160"/>
      <c r="C124" s="160"/>
      <c r="D124" s="3"/>
      <c r="E124" s="3"/>
      <c r="F124" s="2"/>
      <c r="G124" s="2"/>
      <c r="H124" s="2"/>
      <c r="I124" s="2"/>
      <c r="J124" s="12"/>
    </row>
    <row r="125" spans="1:10" s="678" customFormat="1">
      <c r="A125" s="203"/>
      <c r="B125" s="160"/>
      <c r="C125" s="160"/>
      <c r="D125" s="3"/>
      <c r="E125" s="3"/>
      <c r="F125" s="2"/>
      <c r="G125" s="2"/>
      <c r="H125" s="2"/>
      <c r="I125" s="2"/>
      <c r="J125" s="12"/>
    </row>
    <row r="126" spans="1:10" s="678" customFormat="1">
      <c r="A126" s="203"/>
      <c r="B126" s="160"/>
      <c r="C126" s="160"/>
      <c r="D126" s="3"/>
      <c r="E126" s="3"/>
      <c r="F126" s="2"/>
      <c r="G126" s="2"/>
      <c r="H126" s="2"/>
      <c r="I126" s="2"/>
      <c r="J126" s="12"/>
    </row>
    <row r="127" spans="1:10" s="678" customFormat="1">
      <c r="A127" s="203"/>
      <c r="B127" s="160"/>
      <c r="C127" s="160"/>
      <c r="D127" s="3"/>
      <c r="E127" s="3"/>
      <c r="F127" s="2"/>
      <c r="G127" s="2"/>
      <c r="H127" s="2"/>
      <c r="I127" s="2"/>
      <c r="J127" s="12"/>
    </row>
    <row r="128" spans="1:10" s="678" customFormat="1">
      <c r="A128" s="203"/>
      <c r="B128" s="160"/>
      <c r="C128" s="160"/>
      <c r="D128" s="3"/>
      <c r="E128" s="3"/>
      <c r="F128" s="2"/>
      <c r="G128" s="2"/>
      <c r="H128" s="2"/>
      <c r="I128" s="2"/>
      <c r="J128" s="12"/>
    </row>
    <row r="129" spans="1:10" s="678" customFormat="1">
      <c r="A129" s="203"/>
      <c r="B129" s="160"/>
      <c r="C129" s="160"/>
      <c r="D129" s="3"/>
      <c r="E129" s="3"/>
      <c r="F129" s="2"/>
      <c r="G129" s="2"/>
      <c r="H129" s="2"/>
      <c r="I129" s="2"/>
      <c r="J129" s="12"/>
    </row>
    <row r="130" spans="1:10" s="678" customFormat="1">
      <c r="A130" s="203"/>
      <c r="B130" s="160"/>
      <c r="C130" s="160"/>
      <c r="D130" s="3"/>
      <c r="E130" s="3"/>
      <c r="F130" s="2"/>
      <c r="G130" s="2"/>
      <c r="H130" s="2"/>
      <c r="I130" s="2"/>
      <c r="J130" s="12"/>
    </row>
    <row r="131" spans="1:10" s="678" customFormat="1">
      <c r="A131" s="203"/>
      <c r="B131" s="160"/>
      <c r="C131" s="160"/>
      <c r="D131" s="3"/>
      <c r="E131" s="3"/>
      <c r="F131" s="2"/>
      <c r="G131" s="2"/>
      <c r="H131" s="2"/>
      <c r="I131" s="2"/>
      <c r="J131" s="12"/>
    </row>
    <row r="132" spans="1:10" s="678" customFormat="1">
      <c r="A132" s="203"/>
      <c r="B132" s="160"/>
      <c r="C132" s="160"/>
      <c r="D132" s="3"/>
      <c r="E132" s="3"/>
      <c r="F132" s="2"/>
      <c r="G132" s="2"/>
      <c r="H132" s="2"/>
      <c r="I132" s="2"/>
      <c r="J132" s="12"/>
    </row>
    <row r="133" spans="1:10" s="678" customFormat="1">
      <c r="A133" s="203"/>
      <c r="B133" s="160"/>
      <c r="C133" s="160"/>
      <c r="D133" s="3"/>
      <c r="E133" s="3"/>
      <c r="F133" s="2"/>
      <c r="G133" s="2"/>
      <c r="H133" s="2"/>
      <c r="I133" s="2"/>
      <c r="J133" s="12"/>
    </row>
    <row r="134" spans="1:10" s="678" customFormat="1">
      <c r="A134" s="203"/>
      <c r="B134" s="160"/>
      <c r="C134" s="160"/>
      <c r="D134" s="3"/>
      <c r="E134" s="3"/>
      <c r="F134" s="2"/>
      <c r="G134" s="2"/>
      <c r="H134" s="2"/>
      <c r="I134" s="2"/>
      <c r="J134" s="12"/>
    </row>
    <row r="135" spans="1:10" s="678" customFormat="1">
      <c r="A135" s="203"/>
      <c r="B135" s="160"/>
      <c r="C135" s="160"/>
      <c r="D135" s="3"/>
      <c r="E135" s="3"/>
      <c r="F135" s="2"/>
      <c r="G135" s="2"/>
      <c r="H135" s="2"/>
      <c r="I135" s="2"/>
      <c r="J135" s="12"/>
    </row>
    <row r="136" spans="1:10" s="678" customFormat="1">
      <c r="A136" s="203"/>
      <c r="B136" s="160"/>
      <c r="C136" s="160"/>
      <c r="D136" s="3"/>
      <c r="E136" s="3"/>
      <c r="F136" s="2"/>
      <c r="G136" s="2"/>
      <c r="H136" s="2"/>
      <c r="I136" s="2"/>
      <c r="J136" s="12"/>
    </row>
    <row r="137" spans="1:10" s="678" customFormat="1">
      <c r="A137" s="203"/>
      <c r="B137" s="160"/>
      <c r="C137" s="160"/>
      <c r="D137" s="3"/>
      <c r="E137" s="3"/>
      <c r="F137" s="2"/>
      <c r="G137" s="2"/>
      <c r="H137" s="2"/>
      <c r="I137" s="2"/>
      <c r="J137" s="12"/>
    </row>
    <row r="138" spans="1:10" s="678" customFormat="1">
      <c r="A138" s="203"/>
      <c r="B138" s="160"/>
      <c r="C138" s="160"/>
      <c r="D138" s="3"/>
      <c r="E138" s="3"/>
      <c r="F138" s="2"/>
      <c r="G138" s="2"/>
      <c r="H138" s="2"/>
      <c r="I138" s="2"/>
      <c r="J138" s="12"/>
    </row>
    <row r="139" spans="1:10" s="678" customFormat="1">
      <c r="A139" s="203"/>
      <c r="B139" s="160"/>
      <c r="C139" s="160"/>
      <c r="D139" s="3"/>
      <c r="E139" s="3"/>
      <c r="F139" s="2"/>
      <c r="G139" s="2"/>
      <c r="H139" s="2"/>
      <c r="I139" s="2"/>
      <c r="J139" s="12"/>
    </row>
    <row r="140" spans="1:10" s="678" customFormat="1">
      <c r="A140" s="203"/>
      <c r="B140" s="160"/>
      <c r="C140" s="160"/>
      <c r="D140" s="3"/>
      <c r="E140" s="3"/>
      <c r="F140" s="2"/>
      <c r="G140" s="2"/>
      <c r="H140" s="2"/>
      <c r="I140" s="2"/>
      <c r="J140" s="12"/>
    </row>
    <row r="141" spans="1:10" s="678" customFormat="1">
      <c r="A141" s="203"/>
      <c r="B141" s="160"/>
      <c r="C141" s="160"/>
      <c r="D141" s="3"/>
      <c r="E141" s="3"/>
      <c r="F141" s="2"/>
      <c r="G141" s="2"/>
      <c r="H141" s="2"/>
      <c r="I141" s="2"/>
      <c r="J141" s="12"/>
    </row>
    <row r="142" spans="1:10" s="678" customFormat="1">
      <c r="A142" s="203"/>
      <c r="B142" s="160"/>
      <c r="C142" s="160"/>
      <c r="D142" s="3"/>
      <c r="E142" s="3"/>
      <c r="F142" s="2"/>
      <c r="G142" s="2"/>
      <c r="H142" s="2"/>
      <c r="I142" s="2"/>
      <c r="J142" s="12"/>
    </row>
    <row r="143" spans="1:10" s="678" customFormat="1">
      <c r="A143" s="203"/>
      <c r="B143" s="160"/>
      <c r="C143" s="160"/>
      <c r="D143" s="3"/>
      <c r="E143" s="3"/>
      <c r="F143" s="2"/>
      <c r="G143" s="2"/>
      <c r="H143" s="2"/>
      <c r="I143" s="2"/>
      <c r="J143" s="12"/>
    </row>
    <row r="144" spans="1:10" s="678" customFormat="1">
      <c r="A144" s="203"/>
      <c r="B144" s="160"/>
      <c r="C144" s="160"/>
      <c r="D144" s="3"/>
      <c r="E144" s="3"/>
      <c r="F144" s="2"/>
      <c r="G144" s="2"/>
      <c r="H144" s="2"/>
      <c r="I144" s="2"/>
      <c r="J144" s="12"/>
    </row>
    <row r="145" spans="1:10" s="678" customFormat="1">
      <c r="A145" s="203"/>
      <c r="B145" s="160"/>
      <c r="C145" s="160"/>
      <c r="D145" s="3"/>
      <c r="E145" s="3"/>
      <c r="F145" s="2"/>
      <c r="G145" s="2"/>
      <c r="H145" s="2"/>
      <c r="I145" s="2"/>
      <c r="J145" s="12"/>
    </row>
    <row r="146" spans="1:10" s="678" customFormat="1">
      <c r="A146" s="203"/>
      <c r="B146" s="160"/>
      <c r="C146" s="160"/>
      <c r="D146" s="3"/>
      <c r="E146" s="3"/>
      <c r="F146" s="2"/>
      <c r="G146" s="2"/>
      <c r="H146" s="2"/>
      <c r="I146" s="2"/>
      <c r="J146" s="12"/>
    </row>
    <row r="147" spans="1:10" s="678" customFormat="1">
      <c r="A147" s="203"/>
      <c r="B147" s="160"/>
      <c r="C147" s="160"/>
      <c r="D147" s="3"/>
      <c r="E147" s="3"/>
      <c r="F147" s="2"/>
      <c r="G147" s="2"/>
      <c r="H147" s="2"/>
      <c r="I147" s="2"/>
      <c r="J147" s="12"/>
    </row>
    <row r="148" spans="1:10" s="678" customFormat="1">
      <c r="A148" s="203"/>
      <c r="B148" s="160"/>
      <c r="C148" s="160"/>
      <c r="D148" s="3"/>
      <c r="E148" s="3"/>
      <c r="F148" s="2"/>
      <c r="G148" s="2"/>
      <c r="H148" s="2"/>
      <c r="I148" s="2"/>
      <c r="J148" s="12"/>
    </row>
    <row r="149" spans="1:10" s="678" customFormat="1">
      <c r="A149" s="203"/>
      <c r="B149" s="160"/>
      <c r="C149" s="160"/>
      <c r="D149" s="3"/>
      <c r="E149" s="3"/>
      <c r="F149" s="2"/>
      <c r="G149" s="2"/>
      <c r="H149" s="2"/>
      <c r="I149" s="2"/>
      <c r="J149" s="12"/>
    </row>
    <row r="150" spans="1:10" s="678" customFormat="1">
      <c r="A150" s="203"/>
      <c r="B150" s="160"/>
      <c r="C150" s="160"/>
      <c r="D150" s="3"/>
      <c r="E150" s="3"/>
      <c r="F150" s="2"/>
      <c r="G150" s="2"/>
      <c r="H150" s="2"/>
      <c r="I150" s="2"/>
      <c r="J150" s="12"/>
    </row>
    <row r="151" spans="1:10" s="678" customFormat="1">
      <c r="A151" s="203"/>
      <c r="B151" s="160"/>
      <c r="C151" s="160"/>
      <c r="D151" s="3"/>
      <c r="E151" s="3"/>
      <c r="F151" s="2"/>
      <c r="G151" s="2"/>
      <c r="H151" s="2"/>
      <c r="I151" s="2"/>
      <c r="J151" s="12"/>
    </row>
    <row r="152" spans="1:10" s="678" customFormat="1">
      <c r="A152" s="203"/>
      <c r="B152" s="160"/>
      <c r="C152" s="160"/>
      <c r="D152" s="3"/>
      <c r="E152" s="3"/>
      <c r="F152" s="2"/>
      <c r="G152" s="2"/>
      <c r="H152" s="2"/>
      <c r="I152" s="2"/>
      <c r="J152" s="12"/>
    </row>
    <row r="153" spans="1:10" s="678" customFormat="1">
      <c r="A153" s="203"/>
      <c r="B153" s="160"/>
      <c r="C153" s="160"/>
      <c r="D153" s="3"/>
      <c r="E153" s="3"/>
      <c r="F153" s="2"/>
      <c r="G153" s="2"/>
      <c r="H153" s="2"/>
      <c r="I153" s="2"/>
      <c r="J153" s="12"/>
    </row>
    <row r="154" spans="1:10" s="678" customFormat="1">
      <c r="A154" s="203"/>
      <c r="B154" s="160"/>
      <c r="C154" s="160"/>
      <c r="D154" s="3"/>
      <c r="E154" s="3"/>
      <c r="F154" s="2"/>
      <c r="G154" s="2"/>
      <c r="H154" s="2"/>
      <c r="I154" s="2"/>
      <c r="J154" s="12"/>
    </row>
    <row r="155" spans="1:10" s="678" customFormat="1">
      <c r="A155" s="203"/>
      <c r="B155" s="160"/>
      <c r="C155" s="160"/>
      <c r="D155" s="3"/>
      <c r="E155" s="3"/>
      <c r="F155" s="2"/>
      <c r="G155" s="2"/>
      <c r="H155" s="2"/>
      <c r="I155" s="2"/>
      <c r="J155" s="12"/>
    </row>
    <row r="156" spans="1:10" s="678" customFormat="1">
      <c r="A156" s="203"/>
      <c r="B156" s="160"/>
      <c r="C156" s="160"/>
      <c r="D156" s="3"/>
      <c r="E156" s="3"/>
      <c r="F156" s="2"/>
      <c r="G156" s="2"/>
      <c r="H156" s="2"/>
      <c r="I156" s="2"/>
      <c r="J156" s="12"/>
    </row>
    <row r="157" spans="1:10" s="678" customFormat="1">
      <c r="A157" s="203"/>
      <c r="B157" s="160"/>
      <c r="C157" s="160"/>
      <c r="D157" s="3"/>
      <c r="E157" s="3"/>
      <c r="F157" s="2"/>
      <c r="G157" s="2"/>
      <c r="H157" s="2"/>
      <c r="I157" s="2"/>
      <c r="J157" s="12"/>
    </row>
    <row r="158" spans="1:10" s="678" customFormat="1">
      <c r="A158" s="203"/>
      <c r="B158" s="160"/>
      <c r="C158" s="160"/>
      <c r="D158" s="3"/>
      <c r="E158" s="3"/>
      <c r="F158" s="2"/>
      <c r="G158" s="2"/>
      <c r="H158" s="2"/>
      <c r="I158" s="2"/>
      <c r="J158" s="12"/>
    </row>
    <row r="159" spans="1:10" s="678" customFormat="1">
      <c r="A159" s="203"/>
      <c r="B159" s="160"/>
      <c r="C159" s="160"/>
      <c r="D159" s="3"/>
      <c r="E159" s="3"/>
      <c r="F159" s="2"/>
      <c r="G159" s="2"/>
      <c r="H159" s="2"/>
      <c r="I159" s="2"/>
      <c r="J159" s="12"/>
    </row>
    <row r="160" spans="1:10" s="678" customFormat="1">
      <c r="A160" s="203"/>
      <c r="B160" s="160"/>
      <c r="C160" s="160"/>
      <c r="D160" s="3"/>
      <c r="E160" s="3"/>
      <c r="F160" s="2"/>
      <c r="G160" s="2"/>
      <c r="H160" s="2"/>
      <c r="I160" s="2"/>
      <c r="J160" s="12"/>
    </row>
    <row r="161" spans="1:10" s="678" customFormat="1">
      <c r="A161" s="203"/>
      <c r="B161" s="160"/>
      <c r="C161" s="160"/>
      <c r="D161" s="3"/>
      <c r="E161" s="3"/>
      <c r="F161" s="2"/>
      <c r="G161" s="2"/>
      <c r="H161" s="2"/>
      <c r="I161" s="2"/>
      <c r="J161" s="12"/>
    </row>
    <row r="162" spans="1:10" s="678" customFormat="1">
      <c r="A162" s="203"/>
      <c r="B162" s="160"/>
      <c r="C162" s="160"/>
      <c r="D162" s="3"/>
      <c r="E162" s="3"/>
      <c r="F162" s="2"/>
      <c r="G162" s="2"/>
      <c r="H162" s="2"/>
      <c r="I162" s="2"/>
      <c r="J162" s="12"/>
    </row>
    <row r="163" spans="1:10" s="678" customFormat="1">
      <c r="A163" s="203"/>
      <c r="B163" s="160"/>
      <c r="C163" s="160"/>
      <c r="D163" s="3"/>
      <c r="E163" s="3"/>
      <c r="F163" s="2"/>
      <c r="G163" s="2"/>
      <c r="H163" s="2"/>
      <c r="I163" s="2"/>
      <c r="J163" s="12"/>
    </row>
    <row r="164" spans="1:10" s="678" customFormat="1">
      <c r="A164" s="203"/>
      <c r="B164" s="160"/>
      <c r="C164" s="160"/>
      <c r="D164" s="3"/>
      <c r="E164" s="3"/>
      <c r="F164" s="2"/>
      <c r="G164" s="2"/>
      <c r="H164" s="2"/>
      <c r="I164" s="2"/>
      <c r="J164" s="12"/>
    </row>
    <row r="165" spans="1:10" s="678" customFormat="1">
      <c r="A165" s="203"/>
      <c r="B165" s="160"/>
      <c r="C165" s="160"/>
      <c r="D165" s="3"/>
      <c r="E165" s="3"/>
      <c r="F165" s="2"/>
      <c r="G165" s="2"/>
      <c r="H165" s="2"/>
      <c r="I165" s="2"/>
      <c r="J165" s="12"/>
    </row>
    <row r="166" spans="1:10" s="678" customFormat="1">
      <c r="A166" s="203"/>
      <c r="B166" s="160"/>
      <c r="C166" s="160"/>
      <c r="D166" s="3"/>
      <c r="E166" s="3"/>
      <c r="F166" s="2"/>
      <c r="G166" s="2"/>
      <c r="H166" s="2"/>
      <c r="I166" s="2"/>
      <c r="J166" s="12"/>
    </row>
    <row r="167" spans="1:10" s="678" customFormat="1">
      <c r="A167" s="203"/>
      <c r="B167" s="160"/>
      <c r="C167" s="160"/>
      <c r="D167" s="3"/>
      <c r="E167" s="3"/>
      <c r="F167" s="2"/>
      <c r="G167" s="2"/>
      <c r="H167" s="2"/>
      <c r="I167" s="2"/>
      <c r="J167" s="12"/>
    </row>
    <row r="168" spans="1:10" s="678" customFormat="1">
      <c r="A168" s="203"/>
      <c r="B168" s="160"/>
      <c r="C168" s="160"/>
      <c r="D168" s="3"/>
      <c r="E168" s="3"/>
      <c r="F168" s="2"/>
      <c r="G168" s="2"/>
      <c r="H168" s="2"/>
      <c r="I168" s="2"/>
      <c r="J168" s="12"/>
    </row>
    <row r="169" spans="1:10" s="678" customFormat="1">
      <c r="A169" s="203"/>
      <c r="B169" s="160"/>
      <c r="C169" s="160"/>
      <c r="D169" s="3"/>
      <c r="E169" s="3"/>
      <c r="F169" s="2"/>
      <c r="G169" s="2"/>
      <c r="H169" s="2"/>
      <c r="I169" s="2"/>
      <c r="J169" s="12"/>
    </row>
    <row r="170" spans="1:10" s="678" customFormat="1">
      <c r="A170" s="203"/>
      <c r="B170" s="160"/>
      <c r="C170" s="160"/>
      <c r="D170" s="3"/>
      <c r="E170" s="3"/>
      <c r="F170" s="2"/>
      <c r="G170" s="2"/>
      <c r="H170" s="2"/>
      <c r="I170" s="2"/>
      <c r="J170" s="12"/>
    </row>
    <row r="171" spans="1:10" s="678" customFormat="1">
      <c r="A171" s="203"/>
      <c r="B171" s="160"/>
      <c r="C171" s="160"/>
      <c r="D171" s="3"/>
      <c r="E171" s="3"/>
      <c r="F171" s="2"/>
      <c r="G171" s="2"/>
      <c r="H171" s="2"/>
      <c r="I171" s="2"/>
      <c r="J171" s="12"/>
    </row>
    <row r="172" spans="1:10" s="678" customFormat="1">
      <c r="A172" s="203"/>
      <c r="B172" s="160"/>
      <c r="C172" s="160"/>
      <c r="D172" s="3"/>
      <c r="E172" s="3"/>
      <c r="F172" s="2"/>
      <c r="G172" s="2"/>
      <c r="H172" s="2"/>
      <c r="I172" s="2"/>
      <c r="J172" s="12"/>
    </row>
    <row r="173" spans="1:10" s="678" customFormat="1">
      <c r="A173" s="203"/>
      <c r="B173" s="160"/>
      <c r="C173" s="160"/>
      <c r="D173" s="3"/>
      <c r="E173" s="3"/>
      <c r="F173" s="2"/>
      <c r="G173" s="2"/>
      <c r="H173" s="2"/>
      <c r="I173" s="2"/>
      <c r="J173" s="12"/>
    </row>
    <row r="174" spans="1:10" s="678" customFormat="1">
      <c r="A174" s="203"/>
      <c r="B174" s="160"/>
      <c r="C174" s="160"/>
      <c r="D174" s="3"/>
      <c r="E174" s="3"/>
      <c r="F174" s="2"/>
      <c r="G174" s="2"/>
      <c r="H174" s="2"/>
      <c r="I174" s="2"/>
      <c r="J174" s="12"/>
    </row>
    <row r="175" spans="1:10" s="678" customFormat="1">
      <c r="A175" s="203"/>
      <c r="B175" s="160"/>
      <c r="C175" s="160"/>
      <c r="D175" s="3"/>
      <c r="E175" s="3"/>
      <c r="F175" s="2"/>
      <c r="G175" s="2"/>
      <c r="H175" s="2"/>
      <c r="I175" s="2"/>
      <c r="J175" s="12"/>
    </row>
    <row r="176" spans="1:10" s="678" customFormat="1">
      <c r="A176" s="203"/>
      <c r="B176" s="160"/>
      <c r="C176" s="160"/>
      <c r="D176" s="3"/>
      <c r="E176" s="3"/>
      <c r="F176" s="2"/>
      <c r="G176" s="2"/>
      <c r="H176" s="2"/>
      <c r="I176" s="2"/>
      <c r="J176" s="12"/>
    </row>
    <row r="177" spans="1:10" s="678" customFormat="1">
      <c r="A177" s="203"/>
      <c r="B177" s="160"/>
      <c r="C177" s="160"/>
      <c r="D177" s="3"/>
      <c r="E177" s="3"/>
      <c r="F177" s="2"/>
      <c r="G177" s="2"/>
      <c r="H177" s="2"/>
      <c r="I177" s="2"/>
      <c r="J177" s="12"/>
    </row>
    <row r="178" spans="1:10" s="678" customFormat="1">
      <c r="A178" s="203"/>
      <c r="B178" s="160"/>
      <c r="C178" s="160"/>
      <c r="D178" s="3"/>
      <c r="E178" s="3"/>
      <c r="F178" s="2"/>
      <c r="G178" s="2"/>
      <c r="H178" s="2"/>
      <c r="I178" s="2"/>
      <c r="J178" s="12"/>
    </row>
    <row r="179" spans="1:10" s="678" customFormat="1">
      <c r="A179" s="203"/>
      <c r="B179" s="160"/>
      <c r="C179" s="160"/>
      <c r="D179" s="3"/>
      <c r="E179" s="3"/>
      <c r="F179" s="2"/>
      <c r="G179" s="2"/>
      <c r="H179" s="2"/>
      <c r="I179" s="2"/>
      <c r="J179" s="12"/>
    </row>
    <row r="180" spans="1:10" s="678" customFormat="1">
      <c r="A180" s="203"/>
      <c r="B180" s="160"/>
      <c r="C180" s="160"/>
      <c r="D180" s="3"/>
      <c r="E180" s="3"/>
      <c r="F180" s="2"/>
      <c r="G180" s="2"/>
      <c r="H180" s="2"/>
      <c r="I180" s="2"/>
      <c r="J180" s="12"/>
    </row>
    <row r="181" spans="1:10" s="678" customFormat="1">
      <c r="A181" s="203"/>
      <c r="B181" s="160"/>
      <c r="C181" s="160"/>
      <c r="D181" s="3"/>
      <c r="E181" s="3"/>
      <c r="F181" s="2"/>
      <c r="G181" s="2"/>
      <c r="H181" s="2"/>
      <c r="I181" s="2"/>
      <c r="J181" s="12"/>
    </row>
    <row r="182" spans="1:10" s="678" customFormat="1">
      <c r="A182" s="203"/>
      <c r="B182" s="160"/>
      <c r="C182" s="160"/>
      <c r="D182" s="3"/>
      <c r="E182" s="3"/>
      <c r="F182" s="2"/>
      <c r="G182" s="2"/>
      <c r="H182" s="2"/>
      <c r="I182" s="2"/>
      <c r="J182" s="12"/>
    </row>
    <row r="183" spans="1:10" s="678" customFormat="1">
      <c r="A183" s="203"/>
      <c r="B183" s="160"/>
      <c r="C183" s="160"/>
      <c r="D183" s="3"/>
      <c r="E183" s="3"/>
      <c r="F183" s="2"/>
      <c r="G183" s="2"/>
      <c r="H183" s="2"/>
      <c r="I183" s="2"/>
      <c r="J183" s="12"/>
    </row>
    <row r="184" spans="1:10" s="678" customFormat="1">
      <c r="A184" s="203"/>
      <c r="B184" s="160"/>
      <c r="C184" s="160"/>
      <c r="D184" s="3"/>
      <c r="E184" s="3"/>
      <c r="F184" s="2"/>
      <c r="G184" s="2"/>
      <c r="H184" s="2"/>
      <c r="I184" s="2"/>
      <c r="J184" s="12"/>
    </row>
    <row r="185" spans="1:10" s="678" customFormat="1">
      <c r="A185" s="203"/>
      <c r="B185" s="160"/>
      <c r="C185" s="160"/>
      <c r="D185" s="3"/>
      <c r="E185" s="3"/>
      <c r="F185" s="2"/>
      <c r="G185" s="2"/>
      <c r="H185" s="2"/>
      <c r="I185" s="2"/>
      <c r="J185" s="12"/>
    </row>
    <row r="186" spans="1:10" s="678" customFormat="1">
      <c r="A186" s="203"/>
      <c r="B186" s="160"/>
      <c r="C186" s="160"/>
      <c r="D186" s="3"/>
      <c r="E186" s="3"/>
      <c r="F186" s="2"/>
      <c r="G186" s="2"/>
      <c r="H186" s="2"/>
      <c r="I186" s="2"/>
      <c r="J186" s="12"/>
    </row>
    <row r="187" spans="1:10" s="678" customFormat="1">
      <c r="A187" s="203"/>
      <c r="B187" s="160"/>
      <c r="C187" s="160"/>
      <c r="D187" s="3"/>
      <c r="E187" s="3"/>
      <c r="F187" s="2"/>
      <c r="G187" s="2"/>
      <c r="H187" s="2"/>
      <c r="I187" s="2"/>
      <c r="J187" s="12"/>
    </row>
    <row r="188" spans="1:10" s="678" customFormat="1">
      <c r="A188" s="203"/>
      <c r="B188" s="160"/>
      <c r="C188" s="160"/>
      <c r="D188" s="3"/>
      <c r="E188" s="3"/>
      <c r="F188" s="2"/>
      <c r="G188" s="2"/>
      <c r="H188" s="2"/>
      <c r="I188" s="2"/>
      <c r="J188" s="12"/>
    </row>
    <row r="189" spans="1:10" s="678" customFormat="1">
      <c r="A189" s="203"/>
      <c r="B189" s="160"/>
      <c r="C189" s="160"/>
      <c r="D189" s="3"/>
      <c r="E189" s="3"/>
      <c r="F189" s="2"/>
      <c r="G189" s="2"/>
      <c r="H189" s="2"/>
      <c r="I189" s="2"/>
      <c r="J189" s="12"/>
    </row>
    <row r="190" spans="1:10" s="678" customFormat="1">
      <c r="A190" s="203"/>
      <c r="B190" s="160"/>
      <c r="C190" s="160"/>
      <c r="D190" s="3"/>
      <c r="E190" s="3"/>
      <c r="F190" s="2"/>
      <c r="G190" s="2"/>
      <c r="H190" s="2"/>
      <c r="I190" s="2"/>
      <c r="J190" s="12"/>
    </row>
    <row r="191" spans="1:10" s="678" customFormat="1">
      <c r="A191" s="203"/>
      <c r="B191" s="160"/>
      <c r="C191" s="160"/>
      <c r="D191" s="3"/>
      <c r="E191" s="3"/>
      <c r="F191" s="2"/>
      <c r="G191" s="2"/>
      <c r="H191" s="2"/>
      <c r="I191" s="2"/>
      <c r="J191" s="12"/>
    </row>
    <row r="192" spans="1:10" s="678" customFormat="1">
      <c r="A192" s="203"/>
      <c r="B192" s="160"/>
      <c r="C192" s="160"/>
      <c r="D192" s="3"/>
      <c r="E192" s="3"/>
      <c r="F192" s="2"/>
      <c r="G192" s="2"/>
      <c r="H192" s="2"/>
      <c r="I192" s="2"/>
      <c r="J192" s="12"/>
    </row>
    <row r="193" spans="1:10" s="678" customFormat="1">
      <c r="A193" s="203"/>
      <c r="B193" s="160"/>
      <c r="C193" s="160"/>
      <c r="D193" s="3"/>
      <c r="E193" s="3"/>
      <c r="F193" s="2"/>
      <c r="G193" s="2"/>
      <c r="H193" s="2"/>
      <c r="I193" s="2"/>
      <c r="J193" s="12"/>
    </row>
    <row r="194" spans="1:10" s="678" customFormat="1">
      <c r="A194" s="203"/>
      <c r="B194" s="160"/>
      <c r="C194" s="160"/>
      <c r="D194" s="3"/>
      <c r="E194" s="3"/>
      <c r="F194" s="2"/>
      <c r="G194" s="2"/>
      <c r="H194" s="2"/>
      <c r="I194" s="2"/>
      <c r="J194" s="12"/>
    </row>
    <row r="195" spans="1:10" s="678" customFormat="1">
      <c r="A195" s="203"/>
      <c r="B195" s="160"/>
      <c r="C195" s="160"/>
      <c r="D195" s="3"/>
      <c r="E195" s="3"/>
      <c r="F195" s="2"/>
      <c r="G195" s="2"/>
      <c r="H195" s="2"/>
      <c r="I195" s="2"/>
      <c r="J195" s="12"/>
    </row>
    <row r="196" spans="1:10" s="678" customFormat="1">
      <c r="A196" s="203"/>
      <c r="B196" s="160"/>
      <c r="C196" s="160"/>
      <c r="D196" s="3"/>
      <c r="E196" s="3"/>
      <c r="F196" s="2"/>
      <c r="G196" s="2"/>
      <c r="H196" s="2"/>
      <c r="I196" s="2"/>
      <c r="J196" s="12"/>
    </row>
    <row r="197" spans="1:10" s="678" customFormat="1">
      <c r="A197" s="203"/>
      <c r="B197" s="160"/>
      <c r="C197" s="160"/>
      <c r="D197" s="3"/>
      <c r="E197" s="3"/>
      <c r="F197" s="2"/>
      <c r="G197" s="2"/>
      <c r="H197" s="2"/>
      <c r="I197" s="2"/>
      <c r="J197" s="12"/>
    </row>
    <row r="198" spans="1:10" s="678" customFormat="1">
      <c r="A198" s="203"/>
      <c r="B198" s="160"/>
      <c r="C198" s="160"/>
      <c r="D198" s="3"/>
      <c r="E198" s="3"/>
      <c r="F198" s="2"/>
      <c r="G198" s="2"/>
      <c r="H198" s="2"/>
      <c r="I198" s="2"/>
      <c r="J198" s="12"/>
    </row>
    <row r="199" spans="1:10" s="678" customFormat="1">
      <c r="A199" s="203"/>
      <c r="B199" s="160"/>
      <c r="C199" s="160"/>
      <c r="D199" s="3"/>
      <c r="E199" s="3"/>
      <c r="F199" s="2"/>
      <c r="G199" s="2"/>
      <c r="H199" s="2"/>
      <c r="I199" s="2"/>
      <c r="J199" s="12"/>
    </row>
    <row r="200" spans="1:10" s="678" customFormat="1">
      <c r="A200" s="203"/>
      <c r="B200" s="160"/>
      <c r="C200" s="160"/>
      <c r="D200" s="3"/>
      <c r="E200" s="3"/>
      <c r="F200" s="2"/>
      <c r="G200" s="2"/>
      <c r="H200" s="2"/>
      <c r="I200" s="2"/>
      <c r="J200" s="12"/>
    </row>
    <row r="201" spans="1:10" s="678" customFormat="1">
      <c r="A201" s="203"/>
      <c r="B201" s="160"/>
      <c r="C201" s="160"/>
      <c r="D201" s="3"/>
      <c r="E201" s="3"/>
      <c r="F201" s="2"/>
      <c r="G201" s="2"/>
      <c r="H201" s="2"/>
      <c r="I201" s="2"/>
      <c r="J201" s="12"/>
    </row>
    <row r="202" spans="1:10" s="678" customFormat="1">
      <c r="A202" s="203"/>
      <c r="B202" s="160"/>
      <c r="C202" s="160"/>
      <c r="D202" s="3"/>
      <c r="E202" s="3"/>
      <c r="F202" s="2"/>
      <c r="G202" s="2"/>
      <c r="H202" s="2"/>
      <c r="I202" s="2"/>
      <c r="J202" s="12"/>
    </row>
    <row r="203" spans="1:10" s="678" customFormat="1">
      <c r="A203" s="203"/>
      <c r="B203" s="160"/>
      <c r="C203" s="160"/>
      <c r="D203" s="3"/>
      <c r="E203" s="3"/>
      <c r="F203" s="2"/>
      <c r="G203" s="2"/>
      <c r="H203" s="2"/>
      <c r="I203" s="2"/>
      <c r="J203" s="12"/>
    </row>
    <row r="204" spans="1:10" s="678" customFormat="1">
      <c r="A204" s="203"/>
      <c r="B204" s="160"/>
      <c r="C204" s="160"/>
      <c r="D204" s="3"/>
      <c r="E204" s="3"/>
      <c r="F204" s="2"/>
      <c r="G204" s="2"/>
      <c r="H204" s="2"/>
      <c r="I204" s="2"/>
      <c r="J204" s="12"/>
    </row>
    <row r="205" spans="1:10" s="678" customFormat="1">
      <c r="A205" s="203"/>
      <c r="B205" s="160"/>
      <c r="C205" s="160"/>
      <c r="D205" s="3"/>
      <c r="E205" s="3"/>
      <c r="F205" s="2"/>
      <c r="G205" s="2"/>
      <c r="H205" s="2"/>
      <c r="I205" s="2"/>
      <c r="J205" s="12"/>
    </row>
    <row r="206" spans="1:10" s="678" customFormat="1">
      <c r="A206" s="203"/>
      <c r="B206" s="160"/>
      <c r="C206" s="160"/>
      <c r="D206" s="3"/>
      <c r="E206" s="3"/>
      <c r="F206" s="2"/>
      <c r="G206" s="2"/>
      <c r="H206" s="2"/>
      <c r="I206" s="2"/>
      <c r="J206" s="12"/>
    </row>
    <row r="207" spans="1:10" s="678" customFormat="1">
      <c r="A207" s="203"/>
      <c r="B207" s="160"/>
      <c r="C207" s="160"/>
      <c r="D207" s="3"/>
      <c r="E207" s="3"/>
      <c r="F207" s="2"/>
      <c r="G207" s="2"/>
      <c r="H207" s="2"/>
      <c r="I207" s="2"/>
      <c r="J207" s="12"/>
    </row>
    <row r="208" spans="1:10" s="678" customFormat="1">
      <c r="A208" s="203"/>
      <c r="B208" s="160"/>
      <c r="C208" s="160"/>
      <c r="D208" s="3"/>
      <c r="E208" s="3"/>
      <c r="F208" s="2"/>
      <c r="G208" s="2"/>
      <c r="H208" s="2"/>
      <c r="I208" s="2"/>
      <c r="J208" s="12"/>
    </row>
    <row r="209" spans="1:10" s="678" customFormat="1">
      <c r="A209" s="203"/>
      <c r="B209" s="160"/>
      <c r="C209" s="160"/>
      <c r="D209" s="3"/>
      <c r="E209" s="3"/>
      <c r="F209" s="2"/>
      <c r="G209" s="2"/>
      <c r="H209" s="2"/>
      <c r="I209" s="2"/>
      <c r="J209" s="12"/>
    </row>
    <row r="210" spans="1:10" s="678" customFormat="1">
      <c r="A210" s="203"/>
      <c r="B210" s="160"/>
      <c r="C210" s="160"/>
      <c r="D210" s="3"/>
      <c r="E210" s="3"/>
      <c r="F210" s="2"/>
      <c r="G210" s="2"/>
      <c r="H210" s="2"/>
      <c r="I210" s="2"/>
      <c r="J210" s="12"/>
    </row>
    <row r="211" spans="1:10" s="678" customFormat="1">
      <c r="A211" s="203"/>
      <c r="B211" s="160"/>
      <c r="C211" s="160"/>
      <c r="D211" s="3"/>
      <c r="E211" s="3"/>
      <c r="F211" s="2"/>
      <c r="G211" s="2"/>
      <c r="H211" s="2"/>
      <c r="I211" s="2"/>
      <c r="J211" s="12"/>
    </row>
    <row r="212" spans="1:10" s="678" customFormat="1">
      <c r="A212" s="203"/>
      <c r="B212" s="160"/>
      <c r="C212" s="160"/>
      <c r="D212" s="3"/>
      <c r="E212" s="3"/>
      <c r="F212" s="2"/>
      <c r="G212" s="2"/>
      <c r="H212" s="2"/>
      <c r="I212" s="2"/>
      <c r="J212" s="12"/>
    </row>
    <row r="213" spans="1:10" s="678" customFormat="1">
      <c r="A213" s="203"/>
      <c r="B213" s="160"/>
      <c r="C213" s="160"/>
      <c r="D213" s="3"/>
      <c r="E213" s="3"/>
      <c r="F213" s="2"/>
      <c r="G213" s="2"/>
      <c r="H213" s="2"/>
      <c r="I213" s="2"/>
      <c r="J213" s="12"/>
    </row>
    <row r="214" spans="1:10" s="678" customFormat="1">
      <c r="A214" s="203"/>
      <c r="B214" s="160"/>
      <c r="C214" s="160"/>
      <c r="D214" s="3"/>
      <c r="E214" s="3"/>
      <c r="F214" s="2"/>
      <c r="G214" s="2"/>
      <c r="H214" s="2"/>
      <c r="I214" s="2"/>
      <c r="J214" s="12"/>
    </row>
    <row r="215" spans="1:10" s="678" customFormat="1">
      <c r="A215" s="203"/>
      <c r="B215" s="160"/>
      <c r="C215" s="160"/>
      <c r="D215" s="3"/>
      <c r="E215" s="3"/>
      <c r="F215" s="2"/>
      <c r="G215" s="2"/>
      <c r="H215" s="2"/>
      <c r="I215" s="2"/>
      <c r="J215" s="12"/>
    </row>
    <row r="216" spans="1:10" s="678" customFormat="1">
      <c r="A216" s="203"/>
      <c r="B216" s="160"/>
      <c r="C216" s="160"/>
      <c r="D216" s="3"/>
      <c r="E216" s="3"/>
      <c r="F216" s="2"/>
      <c r="G216" s="2"/>
      <c r="H216" s="2"/>
      <c r="I216" s="2"/>
      <c r="J216" s="12"/>
    </row>
    <row r="217" spans="1:10" s="678" customFormat="1">
      <c r="A217" s="203"/>
      <c r="B217" s="160"/>
      <c r="C217" s="160"/>
      <c r="D217" s="3"/>
      <c r="E217" s="3"/>
      <c r="F217" s="2"/>
      <c r="G217" s="2"/>
      <c r="H217" s="2"/>
      <c r="I217" s="2"/>
      <c r="J217" s="12"/>
    </row>
    <row r="218" spans="1:10" s="678" customFormat="1">
      <c r="A218" s="203"/>
      <c r="B218" s="160"/>
      <c r="C218" s="160"/>
      <c r="D218" s="3"/>
      <c r="E218" s="3"/>
      <c r="F218" s="2"/>
      <c r="G218" s="2"/>
      <c r="H218" s="2"/>
      <c r="I218" s="2"/>
      <c r="J218" s="12"/>
    </row>
    <row r="219" spans="1:10" s="678" customFormat="1">
      <c r="A219" s="203"/>
      <c r="B219" s="160"/>
      <c r="C219" s="160"/>
      <c r="D219" s="3"/>
      <c r="E219" s="3"/>
      <c r="F219" s="2"/>
      <c r="G219" s="2"/>
      <c r="H219" s="2"/>
      <c r="I219" s="2"/>
      <c r="J219" s="12"/>
    </row>
    <row r="220" spans="1:10" s="678" customFormat="1">
      <c r="A220" s="203"/>
      <c r="B220" s="160"/>
      <c r="C220" s="160"/>
      <c r="D220" s="3"/>
      <c r="E220" s="3"/>
      <c r="F220" s="2"/>
      <c r="G220" s="2"/>
      <c r="H220" s="2"/>
      <c r="I220" s="2"/>
      <c r="J220" s="12"/>
    </row>
    <row r="221" spans="1:10" s="678" customFormat="1">
      <c r="A221" s="203"/>
      <c r="B221" s="160"/>
      <c r="C221" s="160"/>
      <c r="D221" s="3"/>
      <c r="E221" s="3"/>
      <c r="F221" s="2"/>
      <c r="G221" s="2"/>
      <c r="H221" s="2"/>
      <c r="I221" s="2"/>
      <c r="J221" s="12"/>
    </row>
    <row r="222" spans="1:10" s="678" customFormat="1">
      <c r="A222" s="203"/>
      <c r="B222" s="160"/>
      <c r="C222" s="160"/>
      <c r="D222" s="3"/>
      <c r="E222" s="3"/>
      <c r="F222" s="2"/>
      <c r="G222" s="2"/>
      <c r="H222" s="2"/>
      <c r="I222" s="2"/>
      <c r="J222" s="12"/>
    </row>
    <row r="223" spans="1:10" s="678" customFormat="1">
      <c r="A223" s="203"/>
      <c r="B223" s="160"/>
      <c r="C223" s="160"/>
      <c r="D223" s="3"/>
      <c r="E223" s="3"/>
      <c r="F223" s="2"/>
      <c r="G223" s="2"/>
      <c r="H223" s="2"/>
      <c r="I223" s="2"/>
      <c r="J223" s="12"/>
    </row>
    <row r="224" spans="1:10" s="678" customFormat="1">
      <c r="A224" s="203"/>
      <c r="B224" s="160"/>
      <c r="C224" s="160"/>
      <c r="D224" s="3"/>
      <c r="E224" s="3"/>
      <c r="F224" s="2"/>
      <c r="G224" s="2"/>
      <c r="H224" s="2"/>
      <c r="I224" s="2"/>
      <c r="J224" s="12"/>
    </row>
    <row r="225" spans="1:10" s="678" customFormat="1">
      <c r="A225" s="203"/>
      <c r="B225" s="160"/>
      <c r="C225" s="160"/>
      <c r="D225" s="3"/>
      <c r="E225" s="3"/>
      <c r="F225" s="2"/>
      <c r="G225" s="2"/>
      <c r="H225" s="2"/>
      <c r="I225" s="2"/>
      <c r="J225" s="12"/>
    </row>
    <row r="226" spans="1:10" s="678" customFormat="1">
      <c r="A226" s="203"/>
      <c r="B226" s="160"/>
      <c r="C226" s="160"/>
      <c r="D226" s="3"/>
      <c r="E226" s="3"/>
      <c r="F226" s="2"/>
      <c r="G226" s="2"/>
      <c r="H226" s="2"/>
      <c r="I226" s="2"/>
      <c r="J226" s="12"/>
    </row>
    <row r="227" spans="1:10" s="678" customFormat="1">
      <c r="A227" s="203"/>
      <c r="B227" s="160"/>
      <c r="C227" s="160"/>
      <c r="D227" s="3"/>
      <c r="E227" s="3"/>
      <c r="F227" s="2"/>
      <c r="G227" s="2"/>
      <c r="H227" s="2"/>
      <c r="I227" s="2"/>
      <c r="J227" s="12"/>
    </row>
    <row r="228" spans="1:10" s="678" customFormat="1">
      <c r="A228" s="203"/>
      <c r="B228" s="160"/>
      <c r="C228" s="160"/>
      <c r="D228" s="3"/>
      <c r="E228" s="3"/>
      <c r="F228" s="2"/>
      <c r="G228" s="2"/>
      <c r="H228" s="2"/>
      <c r="I228" s="2"/>
      <c r="J228" s="12"/>
    </row>
    <row r="229" spans="1:10" s="678" customFormat="1">
      <c r="A229" s="203"/>
      <c r="B229" s="160"/>
      <c r="C229" s="160"/>
      <c r="D229" s="3"/>
      <c r="E229" s="3"/>
      <c r="F229" s="2"/>
      <c r="G229" s="2"/>
      <c r="H229" s="2"/>
      <c r="I229" s="2"/>
      <c r="J229" s="12"/>
    </row>
    <row r="230" spans="1:10" s="678" customFormat="1">
      <c r="A230" s="203"/>
      <c r="B230" s="160"/>
      <c r="C230" s="160"/>
      <c r="D230" s="3"/>
      <c r="E230" s="3"/>
      <c r="F230" s="2"/>
      <c r="G230" s="2"/>
      <c r="H230" s="2"/>
      <c r="I230" s="2"/>
      <c r="J230" s="12"/>
    </row>
    <row r="231" spans="1:10" s="678" customFormat="1">
      <c r="A231" s="203"/>
      <c r="B231" s="160"/>
      <c r="C231" s="160"/>
      <c r="D231" s="3"/>
      <c r="E231" s="3"/>
      <c r="F231" s="2"/>
      <c r="G231" s="2"/>
      <c r="H231" s="2"/>
      <c r="I231" s="2"/>
      <c r="J231" s="12"/>
    </row>
    <row r="232" spans="1:10" s="678" customFormat="1">
      <c r="A232" s="203"/>
      <c r="B232" s="160"/>
      <c r="C232" s="160"/>
      <c r="D232" s="3"/>
      <c r="E232" s="3"/>
      <c r="F232" s="2"/>
      <c r="G232" s="2"/>
      <c r="H232" s="2"/>
      <c r="I232" s="2"/>
      <c r="J232" s="12"/>
    </row>
    <row r="233" spans="1:10" s="678" customFormat="1">
      <c r="A233" s="203"/>
      <c r="B233" s="160"/>
      <c r="C233" s="160"/>
      <c r="D233" s="3"/>
      <c r="E233" s="3"/>
      <c r="F233" s="2"/>
      <c r="G233" s="2"/>
      <c r="H233" s="2"/>
      <c r="I233" s="2"/>
      <c r="J233" s="12"/>
    </row>
    <row r="234" spans="1:10" s="678" customFormat="1">
      <c r="A234" s="203"/>
      <c r="B234" s="160"/>
      <c r="C234" s="160"/>
      <c r="D234" s="3"/>
      <c r="E234" s="3"/>
      <c r="F234" s="2"/>
      <c r="G234" s="2"/>
      <c r="H234" s="2"/>
      <c r="I234" s="2"/>
      <c r="J234" s="12"/>
    </row>
    <row r="235" spans="1:10" s="678" customFormat="1">
      <c r="A235" s="203"/>
      <c r="B235" s="160"/>
      <c r="C235" s="160"/>
      <c r="D235" s="3"/>
      <c r="E235" s="3"/>
      <c r="F235" s="2"/>
      <c r="G235" s="2"/>
      <c r="H235" s="2"/>
      <c r="I235" s="2"/>
      <c r="J235" s="12"/>
    </row>
    <row r="236" spans="1:10" s="678" customFormat="1">
      <c r="A236" s="203"/>
      <c r="B236" s="160"/>
      <c r="C236" s="160"/>
      <c r="D236" s="3"/>
      <c r="E236" s="3"/>
      <c r="F236" s="2"/>
      <c r="G236" s="2"/>
      <c r="H236" s="2"/>
      <c r="I236" s="2"/>
      <c r="J236" s="12"/>
    </row>
    <row r="237" spans="1:10" s="678" customFormat="1">
      <c r="A237" s="203"/>
      <c r="B237" s="160"/>
      <c r="C237" s="160"/>
      <c r="D237" s="3"/>
      <c r="E237" s="3"/>
      <c r="F237" s="2"/>
      <c r="G237" s="2"/>
      <c r="H237" s="2"/>
      <c r="I237" s="2"/>
      <c r="J237" s="12"/>
    </row>
    <row r="238" spans="1:10" s="678" customFormat="1">
      <c r="A238" s="203"/>
      <c r="B238" s="160"/>
      <c r="C238" s="160"/>
      <c r="D238" s="3"/>
      <c r="E238" s="3"/>
      <c r="F238" s="2"/>
      <c r="G238" s="2"/>
      <c r="H238" s="2"/>
      <c r="I238" s="2"/>
      <c r="J238" s="12"/>
    </row>
    <row r="239" spans="1:10" s="678" customFormat="1">
      <c r="A239" s="203"/>
      <c r="B239" s="160"/>
      <c r="C239" s="160"/>
      <c r="D239" s="3"/>
      <c r="E239" s="3"/>
      <c r="F239" s="2"/>
      <c r="G239" s="2"/>
      <c r="H239" s="2"/>
      <c r="I239" s="2"/>
      <c r="J239" s="12"/>
    </row>
    <row r="240" spans="1:10" s="678" customFormat="1">
      <c r="A240" s="203"/>
      <c r="B240" s="160"/>
      <c r="C240" s="160"/>
      <c r="D240" s="3"/>
      <c r="E240" s="3"/>
      <c r="F240" s="2"/>
      <c r="G240" s="2"/>
      <c r="H240" s="2"/>
      <c r="I240" s="2"/>
      <c r="J240" s="12"/>
    </row>
    <row r="241" spans="1:10" s="678" customFormat="1">
      <c r="A241" s="203"/>
      <c r="B241" s="160"/>
      <c r="C241" s="160"/>
      <c r="D241" s="3"/>
      <c r="E241" s="3"/>
      <c r="F241" s="2"/>
      <c r="G241" s="2"/>
      <c r="H241" s="2"/>
      <c r="I241" s="2"/>
      <c r="J241" s="12"/>
    </row>
    <row r="242" spans="1:10" s="678" customFormat="1">
      <c r="A242" s="203"/>
      <c r="B242" s="160"/>
      <c r="C242" s="160"/>
      <c r="D242" s="3"/>
      <c r="E242" s="3"/>
      <c r="F242" s="2"/>
      <c r="G242" s="2"/>
      <c r="H242" s="2"/>
      <c r="I242" s="2"/>
      <c r="J242" s="12"/>
    </row>
    <row r="243" spans="1:10" s="678" customFormat="1">
      <c r="A243" s="203"/>
      <c r="B243" s="160"/>
      <c r="C243" s="160"/>
      <c r="D243" s="3"/>
      <c r="E243" s="3"/>
      <c r="F243" s="2"/>
      <c r="G243" s="2"/>
      <c r="H243" s="2"/>
      <c r="I243" s="2"/>
      <c r="J243" s="12"/>
    </row>
    <row r="244" spans="1:10" s="678" customFormat="1">
      <c r="A244" s="203"/>
      <c r="B244" s="160"/>
      <c r="C244" s="160"/>
      <c r="D244" s="3"/>
      <c r="E244" s="3"/>
      <c r="F244" s="2"/>
      <c r="G244" s="2"/>
      <c r="H244" s="2"/>
      <c r="I244" s="2"/>
      <c r="J244" s="12"/>
    </row>
    <row r="245" spans="1:10" s="678" customFormat="1">
      <c r="A245" s="203"/>
      <c r="B245" s="160"/>
      <c r="C245" s="160"/>
      <c r="D245" s="3"/>
      <c r="E245" s="3"/>
      <c r="F245" s="2"/>
      <c r="G245" s="2"/>
      <c r="H245" s="2"/>
      <c r="I245" s="2"/>
      <c r="J245" s="12"/>
    </row>
    <row r="246" spans="1:10" s="678" customFormat="1">
      <c r="A246" s="203"/>
      <c r="B246" s="160"/>
      <c r="C246" s="160"/>
      <c r="D246" s="3"/>
      <c r="E246" s="3"/>
      <c r="F246" s="2"/>
      <c r="G246" s="2"/>
      <c r="H246" s="2"/>
      <c r="I246" s="2"/>
      <c r="J246" s="12"/>
    </row>
    <row r="247" spans="1:10" s="678" customFormat="1">
      <c r="A247" s="203"/>
      <c r="B247" s="160"/>
      <c r="C247" s="160"/>
      <c r="D247" s="3"/>
      <c r="E247" s="3"/>
      <c r="F247" s="2"/>
      <c r="G247" s="2"/>
      <c r="H247" s="2"/>
      <c r="I247" s="2"/>
      <c r="J247" s="12"/>
    </row>
    <row r="248" spans="1:10" s="678" customFormat="1">
      <c r="A248" s="203"/>
      <c r="B248" s="160"/>
      <c r="C248" s="160"/>
      <c r="D248" s="3"/>
      <c r="E248" s="3"/>
      <c r="F248" s="2"/>
      <c r="G248" s="2"/>
      <c r="H248" s="2"/>
      <c r="I248" s="2"/>
      <c r="J248" s="12"/>
    </row>
    <row r="249" spans="1:10" s="678" customFormat="1">
      <c r="A249" s="203"/>
      <c r="B249" s="160"/>
      <c r="C249" s="160"/>
      <c r="D249" s="3"/>
      <c r="E249" s="3"/>
      <c r="F249" s="2"/>
      <c r="G249" s="2"/>
      <c r="H249" s="2"/>
      <c r="I249" s="2"/>
      <c r="J249" s="12"/>
    </row>
    <row r="250" spans="1:10" s="678" customFormat="1">
      <c r="A250" s="203"/>
      <c r="B250" s="160"/>
      <c r="C250" s="160"/>
      <c r="D250" s="3"/>
      <c r="E250" s="3"/>
      <c r="F250" s="2"/>
      <c r="G250" s="2"/>
      <c r="H250" s="2"/>
      <c r="I250" s="2"/>
      <c r="J250" s="12"/>
    </row>
    <row r="251" spans="1:10" s="678" customFormat="1">
      <c r="A251" s="203"/>
      <c r="B251" s="160"/>
      <c r="C251" s="160"/>
      <c r="D251" s="3"/>
      <c r="E251" s="3"/>
      <c r="F251" s="2"/>
      <c r="G251" s="2"/>
      <c r="H251" s="2"/>
      <c r="I251" s="2"/>
      <c r="J251" s="12"/>
    </row>
    <row r="252" spans="1:10" s="678" customFormat="1">
      <c r="A252" s="203"/>
      <c r="B252" s="160"/>
      <c r="C252" s="160"/>
      <c r="D252" s="3"/>
      <c r="E252" s="3"/>
      <c r="F252" s="2"/>
      <c r="G252" s="2"/>
      <c r="H252" s="2"/>
      <c r="I252" s="2"/>
      <c r="J252" s="12"/>
    </row>
    <row r="253" spans="1:10" s="678" customFormat="1">
      <c r="A253" s="203"/>
      <c r="B253" s="160"/>
      <c r="C253" s="160"/>
      <c r="D253" s="3"/>
      <c r="E253" s="3"/>
      <c r="F253" s="2"/>
      <c r="G253" s="2"/>
      <c r="H253" s="2"/>
      <c r="I253" s="2"/>
      <c r="J253" s="12"/>
    </row>
    <row r="254" spans="1:10" s="678" customFormat="1">
      <c r="A254" s="203"/>
      <c r="B254" s="160"/>
      <c r="C254" s="160"/>
      <c r="D254" s="3"/>
      <c r="E254" s="3"/>
      <c r="F254" s="2"/>
      <c r="G254" s="2"/>
      <c r="H254" s="2"/>
      <c r="I254" s="2"/>
      <c r="J254" s="12"/>
    </row>
    <row r="255" spans="1:10" s="678" customFormat="1">
      <c r="A255" s="203"/>
      <c r="B255" s="160"/>
      <c r="C255" s="160"/>
      <c r="D255" s="3"/>
      <c r="E255" s="3"/>
      <c r="F255" s="2"/>
      <c r="G255" s="2"/>
      <c r="H255" s="2"/>
      <c r="I255" s="2"/>
      <c r="J255" s="12"/>
    </row>
    <row r="256" spans="1:10" s="678" customFormat="1">
      <c r="A256" s="203"/>
      <c r="B256" s="160"/>
      <c r="C256" s="160"/>
      <c r="D256" s="3"/>
      <c r="E256" s="3"/>
      <c r="F256" s="2"/>
      <c r="G256" s="2"/>
      <c r="H256" s="2"/>
      <c r="I256" s="2"/>
      <c r="J256" s="12"/>
    </row>
    <row r="257" spans="1:10" s="678" customFormat="1">
      <c r="A257" s="203"/>
      <c r="B257" s="160"/>
      <c r="C257" s="160"/>
      <c r="D257" s="3"/>
      <c r="E257" s="3"/>
      <c r="F257" s="2"/>
      <c r="G257" s="2"/>
      <c r="H257" s="2"/>
      <c r="I257" s="2"/>
      <c r="J257" s="12"/>
    </row>
    <row r="258" spans="1:10" s="678" customFormat="1">
      <c r="A258" s="203"/>
      <c r="B258" s="160"/>
      <c r="C258" s="160"/>
      <c r="D258" s="3"/>
      <c r="E258" s="3"/>
      <c r="F258" s="2"/>
      <c r="G258" s="2"/>
      <c r="H258" s="2"/>
      <c r="I258" s="2"/>
      <c r="J258" s="12"/>
    </row>
    <row r="259" spans="1:10" s="678" customFormat="1">
      <c r="A259" s="203"/>
      <c r="B259" s="160"/>
      <c r="C259" s="160"/>
      <c r="D259" s="3"/>
      <c r="E259" s="3"/>
      <c r="F259" s="2"/>
      <c r="G259" s="2"/>
      <c r="H259" s="2"/>
      <c r="I259" s="2"/>
      <c r="J259" s="12"/>
    </row>
    <row r="260" spans="1:10" s="678" customFormat="1">
      <c r="A260" s="203"/>
      <c r="B260" s="160"/>
      <c r="C260" s="160"/>
      <c r="D260" s="3"/>
      <c r="E260" s="3"/>
      <c r="F260" s="2"/>
      <c r="G260" s="2"/>
      <c r="H260" s="2"/>
      <c r="I260" s="2"/>
      <c r="J260" s="12"/>
    </row>
    <row r="261" spans="1:10" s="678" customFormat="1">
      <c r="A261" s="203"/>
      <c r="B261" s="160"/>
      <c r="C261" s="160"/>
      <c r="D261" s="3"/>
      <c r="E261" s="3"/>
      <c r="F261" s="2"/>
      <c r="G261" s="2"/>
      <c r="H261" s="2"/>
      <c r="I261" s="2"/>
      <c r="J261" s="12"/>
    </row>
    <row r="262" spans="1:10" s="678" customFormat="1">
      <c r="A262" s="203"/>
      <c r="B262" s="160"/>
      <c r="C262" s="160"/>
      <c r="D262" s="3"/>
      <c r="E262" s="3"/>
      <c r="F262" s="2"/>
      <c r="G262" s="2"/>
      <c r="H262" s="2"/>
      <c r="I262" s="2"/>
      <c r="J262" s="12"/>
    </row>
    <row r="263" spans="1:10" s="678" customFormat="1">
      <c r="A263" s="203"/>
      <c r="B263" s="160"/>
      <c r="C263" s="160"/>
      <c r="D263" s="3"/>
      <c r="E263" s="3"/>
      <c r="F263" s="2"/>
      <c r="G263" s="2"/>
      <c r="H263" s="2"/>
      <c r="I263" s="2"/>
      <c r="J263" s="12"/>
    </row>
    <row r="264" spans="1:10" s="678" customFormat="1">
      <c r="A264" s="203"/>
      <c r="B264" s="160"/>
      <c r="C264" s="160"/>
      <c r="D264" s="3"/>
      <c r="E264" s="3"/>
      <c r="F264" s="2"/>
      <c r="G264" s="2"/>
      <c r="H264" s="2"/>
      <c r="I264" s="2"/>
      <c r="J264" s="12"/>
    </row>
    <row r="265" spans="1:10" s="678" customFormat="1">
      <c r="A265" s="203"/>
      <c r="B265" s="160"/>
      <c r="C265" s="160"/>
      <c r="D265" s="3"/>
      <c r="E265" s="3"/>
      <c r="F265" s="2"/>
      <c r="G265" s="2"/>
      <c r="H265" s="2"/>
      <c r="I265" s="2"/>
      <c r="J265" s="12"/>
    </row>
    <row r="266" spans="1:10" s="678" customFormat="1">
      <c r="A266" s="203"/>
      <c r="B266" s="160"/>
      <c r="C266" s="160"/>
      <c r="D266" s="3"/>
      <c r="E266" s="3"/>
      <c r="F266" s="2"/>
      <c r="G266" s="2"/>
      <c r="H266" s="2"/>
      <c r="I266" s="2"/>
      <c r="J266" s="12"/>
    </row>
    <row r="267" spans="1:10" s="678" customFormat="1">
      <c r="A267" s="203"/>
      <c r="B267" s="160"/>
      <c r="C267" s="160"/>
      <c r="D267" s="3"/>
      <c r="E267" s="3"/>
      <c r="F267" s="2"/>
      <c r="G267" s="2"/>
      <c r="H267" s="2"/>
      <c r="I267" s="2"/>
      <c r="J267" s="12"/>
    </row>
    <row r="268" spans="1:10" s="678" customFormat="1">
      <c r="A268" s="203"/>
      <c r="B268" s="160"/>
      <c r="C268" s="160"/>
      <c r="D268" s="3"/>
      <c r="E268" s="3"/>
      <c r="F268" s="2"/>
      <c r="G268" s="2"/>
      <c r="H268" s="2"/>
      <c r="I268" s="2"/>
      <c r="J268" s="12"/>
    </row>
    <row r="269" spans="1:10" s="678" customFormat="1">
      <c r="A269" s="203"/>
      <c r="B269" s="160"/>
      <c r="C269" s="160"/>
      <c r="D269" s="3"/>
      <c r="E269" s="3"/>
      <c r="F269" s="2"/>
      <c r="G269" s="2"/>
      <c r="H269" s="2"/>
      <c r="I269" s="2"/>
      <c r="J269" s="12"/>
    </row>
    <row r="270" spans="1:10" s="678" customFormat="1">
      <c r="A270" s="203"/>
      <c r="B270" s="160"/>
      <c r="C270" s="160"/>
      <c r="D270" s="3"/>
      <c r="E270" s="3"/>
      <c r="F270" s="2"/>
      <c r="G270" s="2"/>
      <c r="H270" s="2"/>
      <c r="I270" s="2"/>
      <c r="J270" s="12"/>
    </row>
    <row r="271" spans="1:10" s="678" customFormat="1">
      <c r="A271" s="203"/>
      <c r="B271" s="160"/>
      <c r="C271" s="160"/>
      <c r="D271" s="3"/>
      <c r="E271" s="3"/>
      <c r="F271" s="2"/>
      <c r="G271" s="2"/>
      <c r="H271" s="2"/>
      <c r="I271" s="2"/>
      <c r="J271" s="12"/>
    </row>
    <row r="272" spans="1:10" s="678" customFormat="1">
      <c r="A272" s="203"/>
      <c r="B272" s="160"/>
      <c r="C272" s="160"/>
      <c r="D272" s="3"/>
      <c r="E272" s="3"/>
      <c r="F272" s="2"/>
      <c r="G272" s="2"/>
      <c r="H272" s="2"/>
      <c r="I272" s="2"/>
      <c r="J272" s="12"/>
    </row>
    <row r="273" spans="1:10" s="678" customFormat="1">
      <c r="A273" s="203"/>
      <c r="B273" s="160"/>
      <c r="C273" s="160"/>
      <c r="D273" s="3"/>
      <c r="E273" s="3"/>
      <c r="F273" s="2"/>
      <c r="G273" s="2"/>
      <c r="H273" s="2"/>
      <c r="I273" s="2"/>
      <c r="J273" s="12"/>
    </row>
    <row r="274" spans="1:10" s="678" customFormat="1">
      <c r="A274" s="203"/>
      <c r="B274" s="160"/>
      <c r="C274" s="160"/>
      <c r="D274" s="3"/>
      <c r="E274" s="3"/>
      <c r="F274" s="2"/>
      <c r="G274" s="2"/>
      <c r="H274" s="2"/>
      <c r="I274" s="2"/>
      <c r="J274" s="12"/>
    </row>
    <row r="275" spans="1:10" s="678" customFormat="1">
      <c r="A275" s="203"/>
      <c r="B275" s="160"/>
      <c r="C275" s="160"/>
      <c r="D275" s="3"/>
      <c r="E275" s="3"/>
      <c r="F275" s="2"/>
      <c r="G275" s="2"/>
      <c r="H275" s="2"/>
      <c r="I275" s="2"/>
      <c r="J275" s="12"/>
    </row>
    <row r="276" spans="1:10" s="678" customFormat="1">
      <c r="A276" s="203"/>
      <c r="B276" s="160"/>
      <c r="C276" s="160"/>
      <c r="D276" s="3"/>
      <c r="E276" s="3"/>
      <c r="F276" s="2"/>
      <c r="G276" s="2"/>
      <c r="H276" s="2"/>
      <c r="I276" s="2"/>
      <c r="J276" s="12"/>
    </row>
    <row r="277" spans="1:10" s="678" customFormat="1">
      <c r="A277" s="203"/>
      <c r="B277" s="160"/>
      <c r="C277" s="160"/>
      <c r="D277" s="3"/>
      <c r="E277" s="3"/>
      <c r="F277" s="2"/>
      <c r="G277" s="2"/>
      <c r="H277" s="2"/>
      <c r="I277" s="2"/>
      <c r="J277" s="12"/>
    </row>
    <row r="278" spans="1:10" s="678" customFormat="1">
      <c r="A278" s="203"/>
      <c r="B278" s="160"/>
      <c r="C278" s="160"/>
      <c r="D278" s="3"/>
      <c r="E278" s="3"/>
      <c r="F278" s="2"/>
      <c r="G278" s="2"/>
      <c r="H278" s="2"/>
      <c r="I278" s="2"/>
      <c r="J278" s="12"/>
    </row>
    <row r="279" spans="1:10" s="678" customFormat="1">
      <c r="A279" s="203"/>
      <c r="B279" s="160"/>
      <c r="C279" s="160"/>
      <c r="D279" s="3"/>
      <c r="E279" s="3"/>
      <c r="F279" s="2"/>
      <c r="G279" s="2"/>
      <c r="H279" s="2"/>
      <c r="I279" s="2"/>
      <c r="J279" s="12"/>
    </row>
    <row r="280" spans="1:10" s="678" customFormat="1">
      <c r="A280" s="203"/>
      <c r="B280" s="160"/>
      <c r="C280" s="160"/>
      <c r="D280" s="3"/>
      <c r="E280" s="3"/>
      <c r="F280" s="2"/>
      <c r="G280" s="2"/>
      <c r="H280" s="2"/>
      <c r="I280" s="2"/>
      <c r="J280" s="12"/>
    </row>
    <row r="281" spans="1:10" s="678" customFormat="1">
      <c r="A281" s="203"/>
      <c r="B281" s="160"/>
      <c r="C281" s="160"/>
      <c r="D281" s="3"/>
      <c r="E281" s="3"/>
      <c r="F281" s="2"/>
      <c r="G281" s="2"/>
      <c r="H281" s="2"/>
      <c r="I281" s="2"/>
      <c r="J281" s="12"/>
    </row>
    <row r="282" spans="1:10" s="678" customFormat="1">
      <c r="A282" s="203"/>
      <c r="B282" s="160"/>
      <c r="C282" s="160"/>
      <c r="D282" s="3"/>
      <c r="E282" s="3"/>
      <c r="F282" s="2"/>
      <c r="G282" s="2"/>
      <c r="H282" s="2"/>
      <c r="I282" s="2"/>
      <c r="J282" s="12"/>
    </row>
    <row r="283" spans="1:10" s="678" customFormat="1">
      <c r="A283" s="203"/>
      <c r="B283" s="160"/>
      <c r="C283" s="160"/>
      <c r="D283" s="3"/>
      <c r="E283" s="3"/>
      <c r="F283" s="2"/>
      <c r="G283" s="2"/>
      <c r="H283" s="2"/>
      <c r="I283" s="2"/>
      <c r="J283" s="12"/>
    </row>
    <row r="284" spans="1:10" s="678" customFormat="1">
      <c r="A284" s="203"/>
      <c r="B284" s="160"/>
      <c r="C284" s="160"/>
      <c r="D284" s="3"/>
      <c r="E284" s="3"/>
      <c r="F284" s="2"/>
      <c r="G284" s="2"/>
      <c r="H284" s="2"/>
      <c r="I284" s="2"/>
      <c r="J284" s="12"/>
    </row>
    <row r="285" spans="1:10" s="678" customFormat="1">
      <c r="A285" s="203"/>
      <c r="B285" s="160"/>
      <c r="C285" s="160"/>
      <c r="D285" s="3"/>
      <c r="E285" s="3"/>
      <c r="F285" s="2"/>
      <c r="G285" s="2"/>
      <c r="H285" s="2"/>
      <c r="I285" s="2"/>
      <c r="J285" s="12"/>
    </row>
    <row r="286" spans="1:10" s="678" customFormat="1">
      <c r="A286" s="203"/>
      <c r="B286" s="160"/>
      <c r="C286" s="160"/>
      <c r="D286" s="3"/>
      <c r="E286" s="3"/>
      <c r="F286" s="2"/>
      <c r="G286" s="2"/>
      <c r="H286" s="2"/>
      <c r="I286" s="2"/>
      <c r="J286" s="12"/>
    </row>
    <row r="287" spans="1:10" s="678" customFormat="1">
      <c r="A287" s="203"/>
      <c r="B287" s="160"/>
      <c r="C287" s="160"/>
      <c r="D287" s="3"/>
      <c r="E287" s="3"/>
      <c r="F287" s="2"/>
      <c r="G287" s="2"/>
      <c r="H287" s="2"/>
      <c r="I287" s="2"/>
      <c r="J287" s="12"/>
    </row>
    <row r="288" spans="1:10" s="678" customFormat="1">
      <c r="A288" s="203"/>
      <c r="B288" s="160"/>
      <c r="C288" s="160"/>
      <c r="D288" s="3"/>
      <c r="E288" s="3"/>
      <c r="F288" s="2"/>
      <c r="G288" s="2"/>
      <c r="H288" s="2"/>
      <c r="I288" s="2"/>
      <c r="J288" s="12"/>
    </row>
    <row r="289" spans="1:10" s="678" customFormat="1">
      <c r="A289" s="203"/>
      <c r="B289" s="160"/>
      <c r="C289" s="160"/>
      <c r="D289" s="3"/>
      <c r="E289" s="3"/>
      <c r="F289" s="2"/>
      <c r="G289" s="2"/>
      <c r="H289" s="2"/>
      <c r="I289" s="2"/>
      <c r="J289" s="12"/>
    </row>
    <row r="290" spans="1:10" s="678" customFormat="1">
      <c r="A290" s="203"/>
      <c r="B290" s="160"/>
      <c r="C290" s="160"/>
      <c r="D290" s="3"/>
      <c r="E290" s="3"/>
      <c r="F290" s="2"/>
      <c r="G290" s="2"/>
      <c r="H290" s="2"/>
      <c r="I290" s="2"/>
      <c r="J290" s="12"/>
    </row>
    <row r="291" spans="1:10" s="678" customFormat="1">
      <c r="A291" s="203"/>
      <c r="B291" s="160"/>
      <c r="C291" s="160"/>
      <c r="D291" s="3"/>
      <c r="E291" s="3"/>
      <c r="F291" s="2"/>
      <c r="G291" s="2"/>
      <c r="H291" s="2"/>
      <c r="I291" s="2"/>
      <c r="J291" s="12"/>
    </row>
    <row r="292" spans="1:10" s="678" customFormat="1">
      <c r="A292" s="203"/>
      <c r="B292" s="160"/>
      <c r="C292" s="160"/>
      <c r="D292" s="3"/>
      <c r="E292" s="3"/>
      <c r="F292" s="2"/>
      <c r="G292" s="2"/>
      <c r="H292" s="2"/>
      <c r="I292" s="2"/>
      <c r="J292" s="12"/>
    </row>
  </sheetData>
  <mergeCells count="10">
    <mergeCell ref="I52:I54"/>
    <mergeCell ref="I4:I6"/>
    <mergeCell ref="F52:F54"/>
    <mergeCell ref="G52:G54"/>
    <mergeCell ref="H52:H54"/>
    <mergeCell ref="B42:E42"/>
    <mergeCell ref="G4:G6"/>
    <mergeCell ref="H4:H6"/>
    <mergeCell ref="F4:F6"/>
    <mergeCell ref="B17:E17"/>
  </mergeCells>
  <printOptions horizontalCentered="1"/>
  <pageMargins left="0.78740157480314965" right="0.78740157480314965" top="0.78740157480314965" bottom="0.78740157480314965" header="0.39370078740157483" footer="0.39370078740157483"/>
  <pageSetup paperSize="9" scale="90" firstPageNumber="80" orientation="portrait" useFirstPageNumber="1" r:id="rId1"/>
  <headerFooter>
    <oddHeader>&amp;C&amp;"+,Tučné"II. Rozpis rozpočtu</oddHeader>
    <oddFooter>&amp;C&amp;"-,Obyčejné" &amp;P</oddFooter>
  </headerFooter>
  <ignoredErrors>
    <ignoredError sqref="F42:G42" formulaRange="1"/>
  </ignoredError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7030A0"/>
  </sheetPr>
  <dimension ref="A1:L112"/>
  <sheetViews>
    <sheetView zoomScaleNormal="100" workbookViewId="0">
      <selection activeCell="N14" sqref="N14"/>
    </sheetView>
  </sheetViews>
  <sheetFormatPr defaultRowHeight="15.75" customHeight="1"/>
  <cols>
    <col min="1" max="1" width="5.5703125" style="156" customWidth="1"/>
    <col min="2" max="4" width="5.7109375" style="367" customWidth="1"/>
    <col min="5" max="5" width="36.7109375" style="368" customWidth="1"/>
    <col min="6" max="6" width="9.85546875" style="337" customWidth="1"/>
    <col min="7" max="7" width="9.85546875" style="337" hidden="1" customWidth="1"/>
    <col min="8" max="9" width="9.85546875" style="337" customWidth="1"/>
    <col min="10" max="10" width="13.7109375" style="1" bestFit="1" customWidth="1"/>
    <col min="11" max="16384" width="9.140625" style="1"/>
  </cols>
  <sheetData>
    <row r="1" spans="1:9" ht="15.75" customHeight="1">
      <c r="A1" s="203"/>
      <c r="B1" s="273"/>
      <c r="C1" s="273"/>
      <c r="D1" s="273"/>
      <c r="E1" s="3"/>
    </row>
    <row r="2" spans="1:9" ht="15.75" customHeight="1">
      <c r="A2" s="203"/>
      <c r="B2" s="273"/>
      <c r="C2" s="273"/>
      <c r="D2" s="273"/>
      <c r="E2" s="3"/>
    </row>
    <row r="3" spans="1:9" ht="10.5" customHeight="1" thickBot="1">
      <c r="A3" s="203"/>
      <c r="B3" s="273"/>
      <c r="C3" s="273"/>
      <c r="D3" s="273"/>
      <c r="E3" s="3"/>
    </row>
    <row r="4" spans="1:9" ht="15.75" customHeight="1" thickTop="1">
      <c r="A4" s="203"/>
      <c r="B4" s="41"/>
      <c r="C4" s="163"/>
      <c r="D4" s="164"/>
      <c r="E4" s="38"/>
      <c r="F4" s="1962" t="s">
        <v>44</v>
      </c>
      <c r="G4" s="1962" t="s">
        <v>43</v>
      </c>
      <c r="H4" s="1962" t="s">
        <v>1487</v>
      </c>
      <c r="I4" s="1971" t="s">
        <v>1488</v>
      </c>
    </row>
    <row r="5" spans="1:9" ht="15.75" customHeight="1">
      <c r="A5" s="203"/>
      <c r="B5" s="36" t="s">
        <v>42</v>
      </c>
      <c r="C5" s="35" t="s">
        <v>41</v>
      </c>
      <c r="D5" s="34" t="s">
        <v>40</v>
      </c>
      <c r="E5" s="33"/>
      <c r="F5" s="1963"/>
      <c r="G5" s="1963"/>
      <c r="H5" s="1963"/>
      <c r="I5" s="1972"/>
    </row>
    <row r="6" spans="1:9" ht="15.75" customHeight="1" thickBot="1">
      <c r="A6" s="203"/>
      <c r="B6" s="31"/>
      <c r="C6" s="30"/>
      <c r="D6" s="29"/>
      <c r="E6" s="28" t="s">
        <v>38</v>
      </c>
      <c r="F6" s="1964"/>
      <c r="G6" s="1964"/>
      <c r="H6" s="1964"/>
      <c r="I6" s="1973"/>
    </row>
    <row r="7" spans="1:9" ht="15.75" customHeight="1" thickTop="1" thickBot="1">
      <c r="A7" s="203"/>
      <c r="B7" s="87" t="s">
        <v>362</v>
      </c>
      <c r="C7" s="86" t="s">
        <v>65</v>
      </c>
      <c r="D7" s="85" t="s">
        <v>363</v>
      </c>
      <c r="E7" s="84" t="s">
        <v>91</v>
      </c>
      <c r="F7" s="82">
        <v>3</v>
      </c>
      <c r="G7" s="82">
        <v>3</v>
      </c>
      <c r="H7" s="82">
        <v>3</v>
      </c>
      <c r="I7" s="1381">
        <v>3</v>
      </c>
    </row>
    <row r="8" spans="1:9" ht="15.75" customHeight="1" thickBot="1">
      <c r="A8" s="203"/>
      <c r="B8" s="80" t="s">
        <v>362</v>
      </c>
      <c r="C8" s="60" t="s">
        <v>51</v>
      </c>
      <c r="D8" s="61" t="s">
        <v>363</v>
      </c>
      <c r="E8" s="59" t="s">
        <v>50</v>
      </c>
      <c r="F8" s="78">
        <v>5</v>
      </c>
      <c r="G8" s="78">
        <v>5</v>
      </c>
      <c r="H8" s="78">
        <v>5</v>
      </c>
      <c r="I8" s="1382">
        <v>5</v>
      </c>
    </row>
    <row r="9" spans="1:9" ht="15.75" customHeight="1" thickBot="1">
      <c r="A9" s="203"/>
      <c r="B9" s="80" t="s">
        <v>362</v>
      </c>
      <c r="C9" s="60" t="s">
        <v>364</v>
      </c>
      <c r="D9" s="61" t="s">
        <v>363</v>
      </c>
      <c r="E9" s="59" t="s">
        <v>89</v>
      </c>
      <c r="F9" s="78">
        <v>7</v>
      </c>
      <c r="G9" s="78">
        <v>7</v>
      </c>
      <c r="H9" s="78">
        <v>7</v>
      </c>
      <c r="I9" s="1382">
        <v>7</v>
      </c>
    </row>
    <row r="10" spans="1:9" ht="15.75" customHeight="1" thickBot="1">
      <c r="A10" s="203"/>
      <c r="B10" s="80" t="s">
        <v>362</v>
      </c>
      <c r="C10" s="60" t="s">
        <v>365</v>
      </c>
      <c r="D10" s="61" t="s">
        <v>363</v>
      </c>
      <c r="E10" s="59" t="s">
        <v>87</v>
      </c>
      <c r="F10" s="78">
        <v>48</v>
      </c>
      <c r="G10" s="78">
        <v>48</v>
      </c>
      <c r="H10" s="78">
        <v>48</v>
      </c>
      <c r="I10" s="1382">
        <v>48</v>
      </c>
    </row>
    <row r="11" spans="1:9" ht="15.75" customHeight="1" thickBot="1">
      <c r="A11" s="203"/>
      <c r="B11" s="80" t="s">
        <v>362</v>
      </c>
      <c r="C11" s="60" t="s">
        <v>366</v>
      </c>
      <c r="D11" s="61" t="s">
        <v>363</v>
      </c>
      <c r="E11" s="103" t="s">
        <v>367</v>
      </c>
      <c r="F11" s="338">
        <v>27</v>
      </c>
      <c r="G11" s="338">
        <v>27</v>
      </c>
      <c r="H11" s="338">
        <v>15</v>
      </c>
      <c r="I11" s="1383">
        <v>15</v>
      </c>
    </row>
    <row r="12" spans="1:9" ht="15.75" customHeight="1" thickBot="1">
      <c r="A12" s="203"/>
      <c r="B12" s="80" t="s">
        <v>362</v>
      </c>
      <c r="C12" s="60" t="s">
        <v>56</v>
      </c>
      <c r="D12" s="61" t="s">
        <v>363</v>
      </c>
      <c r="E12" s="103" t="s">
        <v>368</v>
      </c>
      <c r="F12" s="338">
        <v>718</v>
      </c>
      <c r="G12" s="338">
        <v>718</v>
      </c>
      <c r="H12" s="338">
        <v>718</v>
      </c>
      <c r="I12" s="1383">
        <v>718</v>
      </c>
    </row>
    <row r="13" spans="1:9" ht="15.75" customHeight="1" thickBot="1">
      <c r="A13" s="203"/>
      <c r="B13" s="80" t="s">
        <v>362</v>
      </c>
      <c r="C13" s="60" t="s">
        <v>54</v>
      </c>
      <c r="D13" s="61" t="s">
        <v>363</v>
      </c>
      <c r="E13" s="59" t="s">
        <v>369</v>
      </c>
      <c r="F13" s="78">
        <v>80</v>
      </c>
      <c r="G13" s="78">
        <v>80</v>
      </c>
      <c r="H13" s="78">
        <v>80</v>
      </c>
      <c r="I13" s="1382">
        <v>80</v>
      </c>
    </row>
    <row r="14" spans="1:9" ht="15.75" customHeight="1" thickBot="1">
      <c r="A14" s="203"/>
      <c r="B14" s="80" t="s">
        <v>362</v>
      </c>
      <c r="C14" s="60" t="s">
        <v>193</v>
      </c>
      <c r="D14" s="61">
        <v>7010</v>
      </c>
      <c r="E14" s="59" t="s">
        <v>370</v>
      </c>
      <c r="F14" s="78">
        <v>40</v>
      </c>
      <c r="G14" s="78">
        <v>40</v>
      </c>
      <c r="H14" s="78">
        <v>40</v>
      </c>
      <c r="I14" s="1382">
        <v>40</v>
      </c>
    </row>
    <row r="15" spans="1:9" ht="15.75" customHeight="1" thickBot="1">
      <c r="A15" s="203"/>
      <c r="B15" s="2021" t="s">
        <v>371</v>
      </c>
      <c r="C15" s="2022"/>
      <c r="D15" s="2022"/>
      <c r="E15" s="2022"/>
      <c r="F15" s="339">
        <f>SUM(F7:F14)</f>
        <v>928</v>
      </c>
      <c r="G15" s="339">
        <f>SUM(G7:G14)</f>
        <v>928</v>
      </c>
      <c r="H15" s="339">
        <f>SUM(H7:H14)</f>
        <v>916</v>
      </c>
      <c r="I15" s="1384">
        <f>SUM(I7:I14)</f>
        <v>916</v>
      </c>
    </row>
    <row r="16" spans="1:9" ht="15.75" customHeight="1" thickBot="1">
      <c r="A16" s="203"/>
      <c r="B16" s="80" t="s">
        <v>372</v>
      </c>
      <c r="C16" s="60">
        <v>5139</v>
      </c>
      <c r="D16" s="61" t="s">
        <v>373</v>
      </c>
      <c r="E16" s="59" t="s">
        <v>50</v>
      </c>
      <c r="F16" s="78">
        <v>330</v>
      </c>
      <c r="G16" s="78">
        <v>330</v>
      </c>
      <c r="H16" s="78">
        <v>250</v>
      </c>
      <c r="I16" s="1382">
        <v>250</v>
      </c>
    </row>
    <row r="17" spans="1:9" ht="15.75" customHeight="1" thickBot="1">
      <c r="A17" s="203"/>
      <c r="B17" s="80">
        <v>3722</v>
      </c>
      <c r="C17" s="60">
        <v>5169</v>
      </c>
      <c r="D17" s="61" t="s">
        <v>373</v>
      </c>
      <c r="E17" s="59" t="s">
        <v>374</v>
      </c>
      <c r="F17" s="78">
        <v>35240</v>
      </c>
      <c r="G17" s="78">
        <f>35240-284+290+200</f>
        <v>35446</v>
      </c>
      <c r="H17" s="78">
        <f>33240+1150</f>
        <v>34390</v>
      </c>
      <c r="I17" s="1382">
        <f>33240+1150</f>
        <v>34390</v>
      </c>
    </row>
    <row r="18" spans="1:9" ht="15.75" customHeight="1" thickBot="1">
      <c r="A18" s="203"/>
      <c r="B18" s="80">
        <v>3721</v>
      </c>
      <c r="C18" s="60">
        <v>5169</v>
      </c>
      <c r="D18" s="61" t="s">
        <v>373</v>
      </c>
      <c r="E18" s="59" t="s">
        <v>375</v>
      </c>
      <c r="F18" s="78">
        <v>2500</v>
      </c>
      <c r="G18" s="78">
        <v>2500</v>
      </c>
      <c r="H18" s="78">
        <v>2500</v>
      </c>
      <c r="I18" s="1382">
        <v>2500</v>
      </c>
    </row>
    <row r="19" spans="1:9" ht="15.75" customHeight="1" thickBot="1">
      <c r="A19" s="203"/>
      <c r="B19" s="80">
        <v>3721</v>
      </c>
      <c r="C19" s="60">
        <v>5169</v>
      </c>
      <c r="D19" s="61" t="s">
        <v>373</v>
      </c>
      <c r="E19" s="59" t="s">
        <v>1131</v>
      </c>
      <c r="F19" s="78">
        <v>0</v>
      </c>
      <c r="G19" s="78">
        <v>2500</v>
      </c>
      <c r="H19" s="78">
        <v>550</v>
      </c>
      <c r="I19" s="1382">
        <v>550</v>
      </c>
    </row>
    <row r="20" spans="1:9" ht="14.25" customHeight="1" thickBot="1">
      <c r="A20" s="203"/>
      <c r="B20" s="80">
        <v>3721</v>
      </c>
      <c r="C20" s="60">
        <v>5169</v>
      </c>
      <c r="D20" s="61" t="s">
        <v>373</v>
      </c>
      <c r="E20" s="59" t="s">
        <v>375</v>
      </c>
      <c r="F20" s="78">
        <v>0</v>
      </c>
      <c r="G20" s="78">
        <v>2500</v>
      </c>
      <c r="H20" s="78">
        <v>400</v>
      </c>
      <c r="I20" s="1382">
        <v>400</v>
      </c>
    </row>
    <row r="21" spans="1:9" ht="15.75" customHeight="1" thickBot="1">
      <c r="A21" s="203"/>
      <c r="B21" s="80">
        <v>3721</v>
      </c>
      <c r="C21" s="60">
        <v>5169</v>
      </c>
      <c r="D21" s="61" t="s">
        <v>373</v>
      </c>
      <c r="E21" s="59" t="s">
        <v>1132</v>
      </c>
      <c r="F21" s="78">
        <v>1000</v>
      </c>
      <c r="G21" s="78">
        <v>1000</v>
      </c>
      <c r="H21" s="78">
        <v>900</v>
      </c>
      <c r="I21" s="1382">
        <v>900</v>
      </c>
    </row>
    <row r="22" spans="1:9" ht="15.75" customHeight="1" thickBot="1">
      <c r="A22" s="203"/>
      <c r="B22" s="2021" t="s">
        <v>376</v>
      </c>
      <c r="C22" s="2022"/>
      <c r="D22" s="2022"/>
      <c r="E22" s="2022"/>
      <c r="F22" s="339">
        <f>SUM(F16:F21)</f>
        <v>39070</v>
      </c>
      <c r="G22" s="339">
        <f>SUM(G16:G21)</f>
        <v>44276</v>
      </c>
      <c r="H22" s="339">
        <f>SUM(H16:H21)</f>
        <v>38990</v>
      </c>
      <c r="I22" s="1384">
        <f>SUM(I16:I21)</f>
        <v>38990</v>
      </c>
    </row>
    <row r="23" spans="1:9" ht="15.75" customHeight="1" thickBot="1">
      <c r="A23" s="203"/>
      <c r="B23" s="322" t="s">
        <v>276</v>
      </c>
      <c r="C23" s="323">
        <v>5169</v>
      </c>
      <c r="D23" s="830" t="s">
        <v>377</v>
      </c>
      <c r="E23" s="341" t="s">
        <v>378</v>
      </c>
      <c r="F23" s="339">
        <v>2300</v>
      </c>
      <c r="G23" s="339">
        <f>2300+284</f>
        <v>2584</v>
      </c>
      <c r="H23" s="339">
        <v>2600</v>
      </c>
      <c r="I23" s="1385">
        <v>2600</v>
      </c>
    </row>
    <row r="24" spans="1:9" ht="15.75" customHeight="1" thickBot="1">
      <c r="A24" s="203"/>
      <c r="B24" s="322" t="s">
        <v>379</v>
      </c>
      <c r="C24" s="323" t="s">
        <v>56</v>
      </c>
      <c r="D24" s="830">
        <v>7090</v>
      </c>
      <c r="E24" s="341" t="s">
        <v>380</v>
      </c>
      <c r="F24" s="339">
        <v>1300</v>
      </c>
      <c r="G24" s="339">
        <v>1300</v>
      </c>
      <c r="H24" s="339">
        <v>1100</v>
      </c>
      <c r="I24" s="1385">
        <v>1100</v>
      </c>
    </row>
    <row r="25" spans="1:9" ht="15.75" customHeight="1" thickBot="1">
      <c r="A25" s="203"/>
      <c r="B25" s="80" t="s">
        <v>229</v>
      </c>
      <c r="C25" s="60" t="s">
        <v>65</v>
      </c>
      <c r="D25" s="61" t="s">
        <v>381</v>
      </c>
      <c r="E25" s="59" t="s">
        <v>382</v>
      </c>
      <c r="F25" s="78">
        <v>10</v>
      </c>
      <c r="G25" s="78">
        <f>10+10+1+37</f>
        <v>58</v>
      </c>
      <c r="H25" s="78">
        <v>10</v>
      </c>
      <c r="I25" s="1382">
        <v>10</v>
      </c>
    </row>
    <row r="26" spans="1:9" ht="15.75" customHeight="1" thickBot="1">
      <c r="A26" s="203"/>
      <c r="B26" s="80">
        <v>2212</v>
      </c>
      <c r="C26" s="60">
        <v>5139</v>
      </c>
      <c r="D26" s="61" t="s">
        <v>381</v>
      </c>
      <c r="E26" s="59" t="s">
        <v>383</v>
      </c>
      <c r="F26" s="78">
        <v>60</v>
      </c>
      <c r="G26" s="78">
        <f>60-10-1</f>
        <v>49</v>
      </c>
      <c r="H26" s="78">
        <v>30</v>
      </c>
      <c r="I26" s="1382">
        <v>30</v>
      </c>
    </row>
    <row r="27" spans="1:9" ht="15.75" customHeight="1" thickBot="1">
      <c r="A27" s="203"/>
      <c r="B27" s="80">
        <v>2212</v>
      </c>
      <c r="C27" s="60">
        <v>5151</v>
      </c>
      <c r="D27" s="61" t="s">
        <v>381</v>
      </c>
      <c r="E27" s="59" t="s">
        <v>462</v>
      </c>
      <c r="F27" s="78">
        <v>0</v>
      </c>
      <c r="G27" s="78">
        <v>0</v>
      </c>
      <c r="H27" s="78">
        <v>1</v>
      </c>
      <c r="I27" s="1382">
        <v>1</v>
      </c>
    </row>
    <row r="28" spans="1:9" ht="15.75" customHeight="1" thickBot="1">
      <c r="A28" s="203"/>
      <c r="B28" s="80">
        <v>2212</v>
      </c>
      <c r="C28" s="60">
        <v>5164</v>
      </c>
      <c r="D28" s="61" t="s">
        <v>381</v>
      </c>
      <c r="E28" s="59" t="s">
        <v>384</v>
      </c>
      <c r="F28" s="78">
        <v>4</v>
      </c>
      <c r="G28" s="78">
        <f>4+2.253</f>
        <v>6.2530000000000001</v>
      </c>
      <c r="H28" s="78">
        <v>6</v>
      </c>
      <c r="I28" s="1382">
        <v>6</v>
      </c>
    </row>
    <row r="29" spans="1:9" ht="15.75" customHeight="1" thickBot="1">
      <c r="A29" s="203"/>
      <c r="B29" s="80">
        <v>2212</v>
      </c>
      <c r="C29" s="60">
        <v>5166</v>
      </c>
      <c r="D29" s="61" t="s">
        <v>381</v>
      </c>
      <c r="E29" s="59" t="s">
        <v>385</v>
      </c>
      <c r="F29" s="78">
        <v>600</v>
      </c>
      <c r="G29" s="78">
        <f>600-2.253</f>
        <v>597.74699999999996</v>
      </c>
      <c r="H29" s="78">
        <v>200</v>
      </c>
      <c r="I29" s="1382">
        <v>200</v>
      </c>
    </row>
    <row r="30" spans="1:9" ht="15.75" customHeight="1" thickBot="1">
      <c r="A30" s="203"/>
      <c r="B30" s="80">
        <v>2212</v>
      </c>
      <c r="C30" s="60">
        <v>5169</v>
      </c>
      <c r="D30" s="61" t="s">
        <v>381</v>
      </c>
      <c r="E30" s="59" t="s">
        <v>386</v>
      </c>
      <c r="F30" s="78">
        <v>1380</v>
      </c>
      <c r="G30" s="78">
        <f>1380-425.919+441.408</f>
        <v>1395.489</v>
      </c>
      <c r="H30" s="78">
        <v>750</v>
      </c>
      <c r="I30" s="1382">
        <v>750</v>
      </c>
    </row>
    <row r="31" spans="1:9" ht="15.75" customHeight="1" thickBot="1">
      <c r="A31" s="203"/>
      <c r="B31" s="80">
        <v>2212</v>
      </c>
      <c r="C31" s="60">
        <v>5171</v>
      </c>
      <c r="D31" s="61" t="s">
        <v>381</v>
      </c>
      <c r="E31" s="59" t="s">
        <v>387</v>
      </c>
      <c r="F31" s="78">
        <v>29352</v>
      </c>
      <c r="G31" s="78">
        <f>29352-2.7048+24-9.03-13.3539-785.454-4.0719-37-79.90794</f>
        <v>28444.477460000002</v>
      </c>
      <c r="H31" s="78">
        <f>17266+3400</f>
        <v>20666</v>
      </c>
      <c r="I31" s="1382">
        <f>17266+3400+303</f>
        <v>20969</v>
      </c>
    </row>
    <row r="32" spans="1:9" ht="15.75" customHeight="1" thickBot="1">
      <c r="A32" s="203"/>
      <c r="B32" s="80">
        <v>2212</v>
      </c>
      <c r="C32" s="60">
        <v>5171</v>
      </c>
      <c r="D32" s="61" t="s">
        <v>381</v>
      </c>
      <c r="E32" s="59" t="s">
        <v>388</v>
      </c>
      <c r="F32" s="78">
        <v>0</v>
      </c>
      <c r="G32" s="78">
        <f>2185.953+669.454</f>
        <v>2855.4070000000002</v>
      </c>
      <c r="H32" s="78">
        <v>0</v>
      </c>
      <c r="I32" s="1382">
        <v>0</v>
      </c>
    </row>
    <row r="33" spans="1:10" ht="15.75" customHeight="1" thickBot="1">
      <c r="A33" s="203"/>
      <c r="B33" s="2021" t="s">
        <v>389</v>
      </c>
      <c r="C33" s="2022"/>
      <c r="D33" s="2022"/>
      <c r="E33" s="2022"/>
      <c r="F33" s="325">
        <f>SUM(F25:F32)</f>
        <v>31406</v>
      </c>
      <c r="G33" s="325">
        <f>SUM(G25:G32)</f>
        <v>33406.373460000003</v>
      </c>
      <c r="H33" s="325">
        <f>SUM(H25:H32)</f>
        <v>21663</v>
      </c>
      <c r="I33" s="1366">
        <f>SUM(I25:I32)</f>
        <v>21966</v>
      </c>
    </row>
    <row r="34" spans="1:10" ht="15.75" customHeight="1" thickBot="1">
      <c r="A34" s="203"/>
      <c r="B34" s="322" t="s">
        <v>229</v>
      </c>
      <c r="C34" s="323" t="s">
        <v>56</v>
      </c>
      <c r="D34" s="830" t="s">
        <v>390</v>
      </c>
      <c r="E34" s="341" t="s">
        <v>391</v>
      </c>
      <c r="F34" s="339">
        <v>36000</v>
      </c>
      <c r="G34" s="339">
        <v>36000</v>
      </c>
      <c r="H34" s="339">
        <v>35000</v>
      </c>
      <c r="I34" s="1384">
        <v>35000</v>
      </c>
    </row>
    <row r="35" spans="1:10" ht="15.75" customHeight="1" thickBot="1">
      <c r="A35" s="203"/>
      <c r="B35" s="80">
        <v>3631</v>
      </c>
      <c r="C35" s="60">
        <v>5154</v>
      </c>
      <c r="D35" s="61" t="s">
        <v>392</v>
      </c>
      <c r="E35" s="59" t="s">
        <v>393</v>
      </c>
      <c r="F35" s="78">
        <v>9000</v>
      </c>
      <c r="G35" s="78">
        <v>9000</v>
      </c>
      <c r="H35" s="78">
        <v>9000</v>
      </c>
      <c r="I35" s="1382">
        <v>9000</v>
      </c>
    </row>
    <row r="36" spans="1:10" ht="15.75" customHeight="1" thickBot="1">
      <c r="A36" s="203"/>
      <c r="B36" s="80">
        <v>3631</v>
      </c>
      <c r="C36" s="60">
        <v>5166</v>
      </c>
      <c r="D36" s="61" t="s">
        <v>392</v>
      </c>
      <c r="E36" s="59" t="s">
        <v>394</v>
      </c>
      <c r="F36" s="78">
        <v>50</v>
      </c>
      <c r="G36" s="78">
        <v>50</v>
      </c>
      <c r="H36" s="78">
        <v>50</v>
      </c>
      <c r="I36" s="1382">
        <v>50</v>
      </c>
    </row>
    <row r="37" spans="1:10" ht="15.75" customHeight="1" thickBot="1">
      <c r="A37" s="203"/>
      <c r="B37" s="80">
        <v>3631</v>
      </c>
      <c r="C37" s="60">
        <v>5169</v>
      </c>
      <c r="D37" s="61" t="s">
        <v>392</v>
      </c>
      <c r="E37" s="59" t="s">
        <v>395</v>
      </c>
      <c r="F37" s="78">
        <v>60</v>
      </c>
      <c r="G37" s="78">
        <v>60</v>
      </c>
      <c r="H37" s="78">
        <v>50</v>
      </c>
      <c r="I37" s="1382">
        <v>50</v>
      </c>
    </row>
    <row r="38" spans="1:10" ht="15.75" customHeight="1" thickBot="1">
      <c r="A38" s="203"/>
      <c r="B38" s="80">
        <v>3631</v>
      </c>
      <c r="C38" s="60">
        <v>5171</v>
      </c>
      <c r="D38" s="61" t="s">
        <v>392</v>
      </c>
      <c r="E38" s="59" t="s">
        <v>396</v>
      </c>
      <c r="F38" s="78">
        <v>9500</v>
      </c>
      <c r="G38" s="78">
        <f>9500-506.3422-61.02117-49.32501-104.08146-113.42226-110.86488-128.31105</f>
        <v>8426.6319700000022</v>
      </c>
      <c r="H38" s="78">
        <v>9200</v>
      </c>
      <c r="I38" s="1382">
        <v>9200</v>
      </c>
    </row>
    <row r="39" spans="1:10" ht="15.75" customHeight="1" thickBot="1">
      <c r="A39" s="203"/>
      <c r="B39" s="1960" t="s">
        <v>397</v>
      </c>
      <c r="C39" s="1961"/>
      <c r="D39" s="1961"/>
      <c r="E39" s="1961"/>
      <c r="F39" s="88">
        <f>SUM(F35:F38)</f>
        <v>18610</v>
      </c>
      <c r="G39" s="88">
        <f>SUM(G35:G38)</f>
        <v>17536.631970000002</v>
      </c>
      <c r="H39" s="88">
        <f>SUM(H35:H38)</f>
        <v>18300</v>
      </c>
      <c r="I39" s="1362">
        <f>SUM(I35:I38)</f>
        <v>18300</v>
      </c>
    </row>
    <row r="40" spans="1:10" ht="15.75" customHeight="1" thickTop="1" thickBot="1">
      <c r="A40" s="203"/>
      <c r="B40" s="329" t="s">
        <v>357</v>
      </c>
      <c r="C40" s="330" t="s">
        <v>398</v>
      </c>
      <c r="D40" s="246" t="s">
        <v>399</v>
      </c>
      <c r="E40" s="342" t="s">
        <v>400</v>
      </c>
      <c r="F40" s="343">
        <v>5000</v>
      </c>
      <c r="G40" s="343">
        <f>5000+128.409+504.6</f>
        <v>5633.009</v>
      </c>
      <c r="H40" s="343">
        <v>5000</v>
      </c>
      <c r="I40" s="1386">
        <v>5000</v>
      </c>
    </row>
    <row r="41" spans="1:10" ht="15.75" customHeight="1" thickBot="1">
      <c r="A41" s="203"/>
      <c r="B41" s="329" t="s">
        <v>357</v>
      </c>
      <c r="C41" s="330">
        <v>5336</v>
      </c>
      <c r="D41" s="246" t="s">
        <v>399</v>
      </c>
      <c r="E41" s="342" t="s">
        <v>401</v>
      </c>
      <c r="F41" s="344">
        <v>0</v>
      </c>
      <c r="G41" s="344">
        <f>3.03389+20.61178</f>
        <v>23.645669999999999</v>
      </c>
      <c r="H41" s="344">
        <v>0</v>
      </c>
      <c r="I41" s="1387">
        <v>0</v>
      </c>
    </row>
    <row r="42" spans="1:10" ht="15.75" customHeight="1" thickBot="1">
      <c r="A42" s="203"/>
      <c r="B42" s="322" t="s">
        <v>402</v>
      </c>
      <c r="C42" s="323" t="s">
        <v>398</v>
      </c>
      <c r="D42" s="830" t="s">
        <v>403</v>
      </c>
      <c r="E42" s="341" t="s">
        <v>404</v>
      </c>
      <c r="F42" s="344">
        <v>23900</v>
      </c>
      <c r="G42" s="344">
        <f>23900+382.56</f>
        <v>24282.560000000001</v>
      </c>
      <c r="H42" s="344">
        <v>25300</v>
      </c>
      <c r="I42" s="1387">
        <v>25300</v>
      </c>
    </row>
    <row r="43" spans="1:10" ht="15.75" customHeight="1" thickBot="1">
      <c r="A43" s="203"/>
      <c r="B43" s="322" t="s">
        <v>402</v>
      </c>
      <c r="C43" s="323">
        <v>5336</v>
      </c>
      <c r="D43" s="830" t="s">
        <v>403</v>
      </c>
      <c r="E43" s="341" t="s">
        <v>405</v>
      </c>
      <c r="F43" s="344">
        <v>0</v>
      </c>
      <c r="G43" s="344">
        <v>38.590910000000001</v>
      </c>
      <c r="H43" s="344">
        <v>0</v>
      </c>
      <c r="I43" s="1387">
        <v>0</v>
      </c>
    </row>
    <row r="44" spans="1:10" ht="15.75" customHeight="1" thickBot="1">
      <c r="A44" s="203"/>
      <c r="B44" s="326" t="s">
        <v>406</v>
      </c>
      <c r="C44" s="327" t="s">
        <v>398</v>
      </c>
      <c r="D44" s="836" t="s">
        <v>407</v>
      </c>
      <c r="E44" s="328" t="s">
        <v>408</v>
      </c>
      <c r="F44" s="345">
        <v>6000</v>
      </c>
      <c r="G44" s="345">
        <v>6000</v>
      </c>
      <c r="H44" s="345">
        <v>6000</v>
      </c>
      <c r="I44" s="1388">
        <v>6000</v>
      </c>
    </row>
    <row r="45" spans="1:10" ht="15.75" hidden="1" customHeight="1" thickBot="1">
      <c r="A45" s="203"/>
      <c r="B45" s="900" t="s">
        <v>406</v>
      </c>
      <c r="C45" s="901">
        <v>5336</v>
      </c>
      <c r="D45" s="873" t="s">
        <v>407</v>
      </c>
      <c r="E45" s="119" t="s">
        <v>409</v>
      </c>
      <c r="F45" s="902">
        <v>0</v>
      </c>
      <c r="G45" s="902">
        <v>0</v>
      </c>
      <c r="H45" s="902"/>
      <c r="I45" s="902"/>
    </row>
    <row r="46" spans="1:10" s="347" customFormat="1" ht="6" customHeight="1" thickTop="1" thickBot="1">
      <c r="A46" s="209"/>
      <c r="B46" s="256"/>
      <c r="C46" s="256"/>
      <c r="D46" s="256"/>
      <c r="E46" s="256"/>
      <c r="F46" s="346"/>
      <c r="G46" s="346"/>
      <c r="H46" s="346"/>
      <c r="I46" s="346"/>
    </row>
    <row r="47" spans="1:10" s="46" customFormat="1" ht="15.75" customHeight="1" thickTop="1" thickBot="1">
      <c r="A47" s="203"/>
      <c r="B47" s="348"/>
      <c r="C47" s="348"/>
      <c r="D47" s="348"/>
      <c r="E47" s="349" t="s">
        <v>30</v>
      </c>
      <c r="F47" s="350">
        <f>SUM(F15:F15,F22:F24,F33:F34,F39:F44)</f>
        <v>164514</v>
      </c>
      <c r="G47" s="350">
        <f>SUM(G15:G15,G22:G24,G33:G34,G39:G44)</f>
        <v>172008.81101</v>
      </c>
      <c r="H47" s="350">
        <f>SUM(H15:H15,H22:H24,H33:H34,H39:H44)</f>
        <v>154869</v>
      </c>
      <c r="I47" s="1389">
        <f>SUM(I15:I15,I22:I24,I33:I34,I39:I44)</f>
        <v>155172</v>
      </c>
      <c r="J47" s="351"/>
    </row>
    <row r="48" spans="1:10" ht="7.5" customHeight="1" thickTop="1">
      <c r="A48" s="203"/>
      <c r="B48" s="273"/>
      <c r="C48" s="273"/>
      <c r="D48" s="273"/>
      <c r="E48" s="3"/>
    </row>
    <row r="49" spans="1:12" ht="15.75" customHeight="1">
      <c r="A49" s="203"/>
      <c r="B49" s="273"/>
      <c r="C49" s="273"/>
      <c r="D49" s="273"/>
      <c r="E49" s="3"/>
    </row>
    <row r="50" spans="1:12" ht="13.5" customHeight="1">
      <c r="A50" s="203"/>
      <c r="B50" s="273"/>
      <c r="C50" s="273"/>
      <c r="D50" s="273"/>
      <c r="E50" s="3"/>
    </row>
    <row r="51" spans="1:12" ht="4.5" customHeight="1" thickBot="1">
      <c r="A51" s="203"/>
      <c r="B51" s="273"/>
      <c r="C51" s="273"/>
      <c r="D51" s="273"/>
      <c r="E51" s="3"/>
    </row>
    <row r="52" spans="1:12" ht="15.75" customHeight="1" thickTop="1">
      <c r="A52" s="203"/>
      <c r="B52" s="2080" t="s">
        <v>42</v>
      </c>
      <c r="C52" s="2082" t="s">
        <v>41</v>
      </c>
      <c r="D52" s="2084" t="s">
        <v>40</v>
      </c>
      <c r="E52" s="39"/>
      <c r="F52" s="1962" t="s">
        <v>44</v>
      </c>
      <c r="G52" s="1962" t="s">
        <v>43</v>
      </c>
      <c r="H52" s="1962" t="s">
        <v>1487</v>
      </c>
      <c r="I52" s="1971" t="s">
        <v>1488</v>
      </c>
    </row>
    <row r="53" spans="1:12" ht="30.75" customHeight="1" thickBot="1">
      <c r="A53" s="203"/>
      <c r="B53" s="2081"/>
      <c r="C53" s="2083"/>
      <c r="D53" s="2085"/>
      <c r="E53" s="355"/>
      <c r="F53" s="1963"/>
      <c r="G53" s="1963"/>
      <c r="H53" s="1963"/>
      <c r="I53" s="1972"/>
    </row>
    <row r="54" spans="1:12" ht="15.75" hidden="1" customHeight="1" thickBot="1">
      <c r="A54" s="203"/>
      <c r="B54" s="356"/>
      <c r="C54" s="357"/>
      <c r="D54" s="357"/>
      <c r="E54" s="358" t="s">
        <v>38</v>
      </c>
      <c r="F54" s="1964"/>
      <c r="G54" s="1964"/>
      <c r="H54" s="1964"/>
      <c r="I54" s="1973"/>
    </row>
    <row r="55" spans="1:12" ht="15.75" hidden="1" customHeight="1" thickTop="1" thickBot="1">
      <c r="A55" s="203"/>
      <c r="B55" s="1740" t="s">
        <v>229</v>
      </c>
      <c r="C55" s="1741" t="s">
        <v>248</v>
      </c>
      <c r="D55" s="1741" t="s">
        <v>410</v>
      </c>
      <c r="E55" s="1742" t="s">
        <v>411</v>
      </c>
      <c r="F55" s="1743">
        <v>0</v>
      </c>
      <c r="G55" s="1743">
        <v>0</v>
      </c>
      <c r="H55" s="1743">
        <v>0</v>
      </c>
      <c r="I55" s="1744"/>
    </row>
    <row r="56" spans="1:12" ht="15.75" customHeight="1" thickTop="1" thickBot="1">
      <c r="A56" s="203"/>
      <c r="B56" s="1745" t="s">
        <v>362</v>
      </c>
      <c r="C56" s="1746" t="s">
        <v>248</v>
      </c>
      <c r="D56" s="1746" t="s">
        <v>363</v>
      </c>
      <c r="E56" s="1747" t="s">
        <v>1509</v>
      </c>
      <c r="F56" s="1748">
        <v>0</v>
      </c>
      <c r="G56" s="1748">
        <v>0</v>
      </c>
      <c r="H56" s="1748">
        <v>0</v>
      </c>
      <c r="I56" s="49">
        <v>71</v>
      </c>
    </row>
    <row r="57" spans="1:12" s="347" customFormat="1" ht="31.5" customHeight="1" thickBot="1">
      <c r="A57" s="209"/>
      <c r="B57" s="829" t="s">
        <v>402</v>
      </c>
      <c r="C57" s="830" t="s">
        <v>440</v>
      </c>
      <c r="D57" s="830" t="s">
        <v>403</v>
      </c>
      <c r="E57" s="831" t="s">
        <v>1197</v>
      </c>
      <c r="F57" s="832">
        <v>0</v>
      </c>
      <c r="G57" s="832">
        <v>0</v>
      </c>
      <c r="H57" s="832">
        <v>1053</v>
      </c>
      <c r="I57" s="1390">
        <v>1053</v>
      </c>
    </row>
    <row r="58" spans="1:12" s="347" customFormat="1" ht="26.25" customHeight="1" thickBot="1">
      <c r="A58" s="209"/>
      <c r="B58" s="1799" t="s">
        <v>357</v>
      </c>
      <c r="C58" s="1800" t="s">
        <v>440</v>
      </c>
      <c r="D58" s="1800" t="s">
        <v>399</v>
      </c>
      <c r="E58" s="1801" t="s">
        <v>1205</v>
      </c>
      <c r="F58" s="1802">
        <v>0</v>
      </c>
      <c r="G58" s="1802">
        <v>0</v>
      </c>
      <c r="H58" s="1802">
        <v>860</v>
      </c>
      <c r="I58" s="1803">
        <v>860</v>
      </c>
      <c r="K58" s="1806"/>
    </row>
    <row r="59" spans="1:12" s="347" customFormat="1" ht="15.75" customHeight="1" thickTop="1" thickBot="1">
      <c r="A59" s="209"/>
      <c r="B59" s="1807" t="s">
        <v>174</v>
      </c>
      <c r="C59" s="1807" t="s">
        <v>1189</v>
      </c>
      <c r="D59" s="1807" t="s">
        <v>1448</v>
      </c>
      <c r="E59" s="1808" t="s">
        <v>1185</v>
      </c>
      <c r="F59" s="1809">
        <v>0</v>
      </c>
      <c r="G59" s="1809">
        <v>0</v>
      </c>
      <c r="H59" s="1809">
        <f>SUM(H60:H64,H72,H74:H77,H67:H68)</f>
        <v>10832</v>
      </c>
      <c r="I59" s="1809">
        <f>SUM(I60:I64,I72,I74:I77,I67:I68)</f>
        <v>10832</v>
      </c>
      <c r="J59" s="878"/>
      <c r="K59" s="878"/>
      <c r="L59" s="878"/>
    </row>
    <row r="60" spans="1:12" s="347" customFormat="1" ht="15.75" customHeight="1" thickTop="1" thickBot="1">
      <c r="A60" s="209"/>
      <c r="B60" s="1804"/>
      <c r="C60" s="1805"/>
      <c r="D60" s="1805"/>
      <c r="E60" s="1781" t="s">
        <v>1161</v>
      </c>
      <c r="F60" s="1810">
        <v>0</v>
      </c>
      <c r="G60" s="1810">
        <v>0</v>
      </c>
      <c r="H60" s="1810">
        <v>500</v>
      </c>
      <c r="I60" s="1811">
        <v>500</v>
      </c>
      <c r="K60" s="878"/>
    </row>
    <row r="61" spans="1:12" s="347" customFormat="1" ht="15.75" customHeight="1" thickBot="1">
      <c r="A61" s="209"/>
      <c r="B61" s="1782"/>
      <c r="C61" s="1783"/>
      <c r="D61" s="1783"/>
      <c r="E61" s="1784" t="s">
        <v>415</v>
      </c>
      <c r="F61" s="1812">
        <v>250</v>
      </c>
      <c r="G61" s="1812">
        <v>250</v>
      </c>
      <c r="H61" s="1812">
        <v>250</v>
      </c>
      <c r="I61" s="1813">
        <v>250</v>
      </c>
      <c r="K61" s="878"/>
    </row>
    <row r="62" spans="1:12" s="347" customFormat="1" ht="15.75" customHeight="1" thickBot="1">
      <c r="A62" s="209"/>
      <c r="B62" s="1782"/>
      <c r="C62" s="1783"/>
      <c r="D62" s="1783"/>
      <c r="E62" s="879" t="s">
        <v>1162</v>
      </c>
      <c r="F62" s="1812">
        <v>0</v>
      </c>
      <c r="G62" s="1812">
        <v>0</v>
      </c>
      <c r="H62" s="1812">
        <v>500</v>
      </c>
      <c r="I62" s="1813">
        <v>500</v>
      </c>
      <c r="K62" s="878"/>
    </row>
    <row r="63" spans="1:12" s="347" customFormat="1" ht="15.75" customHeight="1" thickBot="1">
      <c r="A63" s="209"/>
      <c r="B63" s="1782"/>
      <c r="C63" s="1783"/>
      <c r="D63" s="1783"/>
      <c r="E63" s="879" t="s">
        <v>1163</v>
      </c>
      <c r="F63" s="1812">
        <v>0</v>
      </c>
      <c r="G63" s="1812">
        <v>0</v>
      </c>
      <c r="H63" s="1812">
        <v>300</v>
      </c>
      <c r="I63" s="1813">
        <v>300</v>
      </c>
      <c r="K63" s="878"/>
    </row>
    <row r="64" spans="1:12" s="347" customFormat="1" ht="15.75" customHeight="1" thickBot="1">
      <c r="A64" s="209"/>
      <c r="B64" s="1778"/>
      <c r="C64" s="1779"/>
      <c r="D64" s="1779" t="s">
        <v>407</v>
      </c>
      <c r="E64" s="1780" t="s">
        <v>1194</v>
      </c>
      <c r="F64" s="1812">
        <v>0</v>
      </c>
      <c r="G64" s="1812">
        <v>2650</v>
      </c>
      <c r="H64" s="1812">
        <v>2200</v>
      </c>
      <c r="I64" s="1813">
        <v>2200</v>
      </c>
      <c r="K64" s="878"/>
    </row>
    <row r="65" spans="1:12" s="347" customFormat="1" ht="15.75" customHeight="1" thickBot="1">
      <c r="A65" s="209"/>
      <c r="B65" s="1773" t="s">
        <v>406</v>
      </c>
      <c r="C65" s="1774" t="s">
        <v>440</v>
      </c>
      <c r="D65" s="1774" t="s">
        <v>407</v>
      </c>
      <c r="E65" s="1775" t="s">
        <v>1510</v>
      </c>
      <c r="F65" s="1776">
        <v>0</v>
      </c>
      <c r="G65" s="1776">
        <v>0</v>
      </c>
      <c r="H65" s="1776">
        <v>0</v>
      </c>
      <c r="I65" s="1777">
        <v>2650</v>
      </c>
      <c r="K65" s="878"/>
    </row>
    <row r="66" spans="1:12" s="347" customFormat="1" ht="15.75" customHeight="1" thickBot="1">
      <c r="A66" s="209"/>
      <c r="B66" s="2074" t="s">
        <v>1194</v>
      </c>
      <c r="C66" s="2075"/>
      <c r="D66" s="2075"/>
      <c r="E66" s="2076"/>
      <c r="F66" s="882">
        <f>SUM(F64:F65)</f>
        <v>0</v>
      </c>
      <c r="G66" s="882">
        <f>G64+G65</f>
        <v>2650</v>
      </c>
      <c r="H66" s="882">
        <f>H64+H65</f>
        <v>2200</v>
      </c>
      <c r="I66" s="1392">
        <f>I64+I65</f>
        <v>4850</v>
      </c>
      <c r="K66" s="878"/>
    </row>
    <row r="67" spans="1:12" s="347" customFormat="1" ht="15.75" customHeight="1" thickBot="1">
      <c r="A67" s="209"/>
      <c r="B67" s="1782"/>
      <c r="C67" s="1783"/>
      <c r="D67" s="1783"/>
      <c r="E67" s="879" t="s">
        <v>446</v>
      </c>
      <c r="F67" s="1812">
        <v>200</v>
      </c>
      <c r="G67" s="1812">
        <v>200</v>
      </c>
      <c r="H67" s="1812">
        <v>300</v>
      </c>
      <c r="I67" s="1813">
        <v>300</v>
      </c>
      <c r="K67" s="878"/>
    </row>
    <row r="68" spans="1:12" ht="15.75" customHeight="1" thickBot="1">
      <c r="A68" s="203"/>
      <c r="B68" s="1778"/>
      <c r="C68" s="1779"/>
      <c r="D68" s="1779"/>
      <c r="E68" s="1787" t="s">
        <v>412</v>
      </c>
      <c r="F68" s="1814">
        <v>2300</v>
      </c>
      <c r="G68" s="1814">
        <f>2300+506.97+840+785.454</f>
        <v>4432.424</v>
      </c>
      <c r="H68" s="1814">
        <v>2000</v>
      </c>
      <c r="I68" s="1815">
        <v>2000</v>
      </c>
      <c r="J68" s="966"/>
      <c r="K68" s="966"/>
      <c r="L68" s="966"/>
    </row>
    <row r="69" spans="1:12" ht="15.75" customHeight="1" thickBot="1">
      <c r="A69" s="203"/>
      <c r="B69" s="1785"/>
      <c r="C69" s="1786"/>
      <c r="D69" s="1786"/>
      <c r="E69" s="876" t="s">
        <v>413</v>
      </c>
      <c r="F69" s="362">
        <v>0</v>
      </c>
      <c r="G69" s="362">
        <v>2340</v>
      </c>
      <c r="H69" s="362">
        <v>0</v>
      </c>
      <c r="I69" s="1391">
        <v>0</v>
      </c>
    </row>
    <row r="70" spans="1:12" ht="15.75" customHeight="1" thickBot="1">
      <c r="A70" s="203"/>
      <c r="B70" s="2032" t="s">
        <v>1192</v>
      </c>
      <c r="C70" s="2033"/>
      <c r="D70" s="2033"/>
      <c r="E70" s="2034"/>
      <c r="F70" s="882">
        <f>SUM(F68:F69)</f>
        <v>2300</v>
      </c>
      <c r="G70" s="882">
        <f t="shared" ref="G70:I70" si="0">SUM(G68:G69)</f>
        <v>6772.424</v>
      </c>
      <c r="H70" s="882">
        <f t="shared" si="0"/>
        <v>2000</v>
      </c>
      <c r="I70" s="1392">
        <f t="shared" si="0"/>
        <v>2000</v>
      </c>
    </row>
    <row r="71" spans="1:12" ht="15.75" customHeight="1" thickBot="1">
      <c r="A71" s="203"/>
      <c r="B71" s="1785"/>
      <c r="C71" s="1786"/>
      <c r="D71" s="1786"/>
      <c r="E71" s="877" t="s">
        <v>420</v>
      </c>
      <c r="F71" s="362">
        <v>382</v>
      </c>
      <c r="G71" s="362">
        <v>382</v>
      </c>
      <c r="H71" s="362">
        <v>0</v>
      </c>
      <c r="I71" s="1391">
        <v>0</v>
      </c>
    </row>
    <row r="72" spans="1:12" ht="15.75" customHeight="1" thickBot="1">
      <c r="A72" s="203"/>
      <c r="B72" s="1778"/>
      <c r="C72" s="1779"/>
      <c r="D72" s="1779"/>
      <c r="E72" s="1788" t="s">
        <v>421</v>
      </c>
      <c r="F72" s="1816">
        <v>0</v>
      </c>
      <c r="G72" s="1816">
        <v>450</v>
      </c>
      <c r="H72" s="1816">
        <v>832</v>
      </c>
      <c r="I72" s="1813">
        <v>832</v>
      </c>
    </row>
    <row r="73" spans="1:12" ht="15.75" customHeight="1" thickBot="1">
      <c r="A73" s="203"/>
      <c r="B73" s="2077" t="s">
        <v>1193</v>
      </c>
      <c r="C73" s="2078"/>
      <c r="D73" s="2078"/>
      <c r="E73" s="2079"/>
      <c r="F73" s="882">
        <f>SUM(F71:F72)</f>
        <v>382</v>
      </c>
      <c r="G73" s="882">
        <f>SUM(G71:G72)</f>
        <v>832</v>
      </c>
      <c r="H73" s="882">
        <f>SUM(H71:H72)</f>
        <v>832</v>
      </c>
      <c r="I73" s="1392">
        <f>SUM(I71:I72)</f>
        <v>832</v>
      </c>
    </row>
    <row r="74" spans="1:12" ht="15.75" customHeight="1" thickBot="1">
      <c r="A74" s="203"/>
      <c r="B74" s="1782"/>
      <c r="C74" s="1783"/>
      <c r="D74" s="1783"/>
      <c r="E74" s="1789" t="s">
        <v>1159</v>
      </c>
      <c r="F74" s="1816">
        <v>0</v>
      </c>
      <c r="G74" s="1816">
        <v>0</v>
      </c>
      <c r="H74" s="1816">
        <v>250</v>
      </c>
      <c r="I74" s="1813">
        <v>250</v>
      </c>
    </row>
    <row r="75" spans="1:12" ht="15.75" customHeight="1" thickBot="1">
      <c r="A75" s="203"/>
      <c r="B75" s="1782"/>
      <c r="C75" s="1783"/>
      <c r="D75" s="1783"/>
      <c r="E75" s="1789" t="s">
        <v>1160</v>
      </c>
      <c r="F75" s="1816">
        <v>0</v>
      </c>
      <c r="G75" s="1816">
        <v>0</v>
      </c>
      <c r="H75" s="1816">
        <v>1500</v>
      </c>
      <c r="I75" s="1813">
        <v>1500</v>
      </c>
    </row>
    <row r="76" spans="1:12" ht="15.75" customHeight="1" thickBot="1">
      <c r="A76" s="203"/>
      <c r="B76" s="1782"/>
      <c r="C76" s="1783"/>
      <c r="D76" s="1783"/>
      <c r="E76" s="879" t="s">
        <v>1164</v>
      </c>
      <c r="F76" s="1812">
        <v>0</v>
      </c>
      <c r="G76" s="1812">
        <v>0</v>
      </c>
      <c r="H76" s="1812">
        <v>1200</v>
      </c>
      <c r="I76" s="1813">
        <v>1200</v>
      </c>
    </row>
    <row r="77" spans="1:12" ht="15.75" customHeight="1" thickBot="1">
      <c r="A77" s="203"/>
      <c r="B77" s="1790"/>
      <c r="C77" s="1791"/>
      <c r="D77" s="1791"/>
      <c r="E77" s="1792" t="s">
        <v>1165</v>
      </c>
      <c r="F77" s="1817">
        <v>0</v>
      </c>
      <c r="G77" s="1817">
        <v>0</v>
      </c>
      <c r="H77" s="1817">
        <v>1000</v>
      </c>
      <c r="I77" s="1818">
        <v>1000</v>
      </c>
    </row>
    <row r="78" spans="1:12" s="728" customFormat="1" ht="3" customHeight="1" thickTop="1" thickBot="1">
      <c r="A78" s="885"/>
      <c r="B78" s="893"/>
      <c r="C78" s="893"/>
      <c r="D78" s="893"/>
      <c r="E78" s="894"/>
      <c r="F78" s="42"/>
      <c r="G78" s="42"/>
      <c r="H78" s="42"/>
      <c r="I78" s="42"/>
    </row>
    <row r="79" spans="1:12" ht="15.75" customHeight="1" thickTop="1" thickBot="1">
      <c r="A79" s="203"/>
      <c r="B79" s="895" t="s">
        <v>402</v>
      </c>
      <c r="C79" s="896" t="s">
        <v>440</v>
      </c>
      <c r="D79" s="896" t="s">
        <v>403</v>
      </c>
      <c r="E79" s="897" t="s">
        <v>449</v>
      </c>
      <c r="F79" s="880">
        <v>1900</v>
      </c>
      <c r="G79" s="880">
        <v>1900</v>
      </c>
      <c r="H79" s="880">
        <v>0</v>
      </c>
      <c r="I79" s="1393">
        <v>0</v>
      </c>
    </row>
    <row r="80" spans="1:12" ht="15.75" customHeight="1" thickBot="1">
      <c r="A80" s="203"/>
      <c r="B80" s="898" t="s">
        <v>406</v>
      </c>
      <c r="C80" s="899" t="s">
        <v>440</v>
      </c>
      <c r="D80" s="899" t="s">
        <v>407</v>
      </c>
      <c r="E80" s="879" t="s">
        <v>447</v>
      </c>
      <c r="F80" s="881">
        <v>8000</v>
      </c>
      <c r="G80" s="881">
        <v>8000</v>
      </c>
      <c r="H80" s="881">
        <v>0</v>
      </c>
      <c r="I80" s="1390">
        <v>0</v>
      </c>
    </row>
    <row r="81" spans="1:9" s="347" customFormat="1" ht="15.75" customHeight="1" thickBot="1">
      <c r="A81" s="209"/>
      <c r="B81" s="359" t="s">
        <v>414</v>
      </c>
      <c r="C81" s="360" t="s">
        <v>248</v>
      </c>
      <c r="D81" s="360" t="s">
        <v>416</v>
      </c>
      <c r="E81" s="361" t="s">
        <v>1508</v>
      </c>
      <c r="F81" s="325">
        <v>0</v>
      </c>
      <c r="G81" s="325">
        <v>350</v>
      </c>
      <c r="H81" s="325">
        <v>0</v>
      </c>
      <c r="I81" s="1366">
        <v>306</v>
      </c>
    </row>
    <row r="82" spans="1:9" s="347" customFormat="1" ht="15.75" customHeight="1" thickBot="1">
      <c r="A82" s="209"/>
      <c r="B82" s="359" t="s">
        <v>414</v>
      </c>
      <c r="C82" s="360" t="s">
        <v>248</v>
      </c>
      <c r="D82" s="360" t="s">
        <v>418</v>
      </c>
      <c r="E82" s="361" t="s">
        <v>419</v>
      </c>
      <c r="F82" s="325">
        <v>862</v>
      </c>
      <c r="G82" s="325">
        <v>862</v>
      </c>
      <c r="H82" s="325">
        <v>0</v>
      </c>
      <c r="I82" s="1366">
        <v>774</v>
      </c>
    </row>
    <row r="83" spans="1:9" s="347" customFormat="1" ht="15.75" customHeight="1" thickBot="1">
      <c r="A83" s="209"/>
      <c r="B83" s="250" t="s">
        <v>414</v>
      </c>
      <c r="C83" s="251" t="s">
        <v>248</v>
      </c>
      <c r="D83" s="251" t="s">
        <v>422</v>
      </c>
      <c r="E83" s="363" t="s">
        <v>423</v>
      </c>
      <c r="F83" s="325">
        <v>0</v>
      </c>
      <c r="G83" s="325">
        <f>300-36.6592-31.21398</f>
        <v>232.12682000000001</v>
      </c>
      <c r="H83" s="325">
        <v>0</v>
      </c>
      <c r="I83" s="1366">
        <v>0</v>
      </c>
    </row>
    <row r="84" spans="1:9" s="347" customFormat="1" ht="15.75" customHeight="1" thickBot="1">
      <c r="A84" s="209"/>
      <c r="B84" s="359" t="s">
        <v>414</v>
      </c>
      <c r="C84" s="360" t="s">
        <v>248</v>
      </c>
      <c r="D84" s="251" t="s">
        <v>424</v>
      </c>
      <c r="E84" s="363" t="s">
        <v>425</v>
      </c>
      <c r="F84" s="325">
        <v>487</v>
      </c>
      <c r="G84" s="325">
        <v>487</v>
      </c>
      <c r="H84" s="325">
        <v>0</v>
      </c>
      <c r="I84" s="1366">
        <v>400</v>
      </c>
    </row>
    <row r="85" spans="1:9" s="347" customFormat="1" ht="15.75" customHeight="1" thickBot="1">
      <c r="A85" s="209"/>
      <c r="B85" s="250" t="s">
        <v>414</v>
      </c>
      <c r="C85" s="251" t="s">
        <v>248</v>
      </c>
      <c r="D85" s="251" t="s">
        <v>426</v>
      </c>
      <c r="E85" s="363" t="s">
        <v>427</v>
      </c>
      <c r="F85" s="325">
        <v>0</v>
      </c>
      <c r="G85" s="325">
        <f>800-7.2</f>
        <v>792.8</v>
      </c>
      <c r="H85" s="325">
        <v>0</v>
      </c>
      <c r="I85" s="1366">
        <v>700</v>
      </c>
    </row>
    <row r="86" spans="1:9" s="347" customFormat="1" ht="15.75" customHeight="1" thickBot="1">
      <c r="A86" s="209"/>
      <c r="B86" s="250" t="s">
        <v>414</v>
      </c>
      <c r="C86" s="251" t="s">
        <v>248</v>
      </c>
      <c r="D86" s="251" t="s">
        <v>428</v>
      </c>
      <c r="E86" s="363" t="s">
        <v>429</v>
      </c>
      <c r="F86" s="325">
        <v>2300</v>
      </c>
      <c r="G86" s="325">
        <v>2300</v>
      </c>
      <c r="H86" s="325">
        <v>0</v>
      </c>
      <c r="I86" s="1366">
        <v>1500</v>
      </c>
    </row>
    <row r="87" spans="1:9" s="347" customFormat="1" ht="15.75" customHeight="1" thickBot="1">
      <c r="A87" s="209"/>
      <c r="B87" s="359" t="s">
        <v>414</v>
      </c>
      <c r="C87" s="360" t="s">
        <v>248</v>
      </c>
      <c r="D87" s="251" t="s">
        <v>430</v>
      </c>
      <c r="E87" s="363" t="s">
        <v>431</v>
      </c>
      <c r="F87" s="325">
        <v>1050</v>
      </c>
      <c r="G87" s="325">
        <v>1050</v>
      </c>
      <c r="H87" s="325">
        <v>0</v>
      </c>
      <c r="I87" s="1366">
        <v>0</v>
      </c>
    </row>
    <row r="88" spans="1:9" s="347" customFormat="1" ht="15.75" customHeight="1" thickBot="1">
      <c r="A88" s="209"/>
      <c r="B88" s="250" t="s">
        <v>414</v>
      </c>
      <c r="C88" s="251" t="s">
        <v>248</v>
      </c>
      <c r="D88" s="251" t="s">
        <v>432</v>
      </c>
      <c r="E88" s="363" t="s">
        <v>433</v>
      </c>
      <c r="F88" s="325">
        <v>1350</v>
      </c>
      <c r="G88" s="325">
        <v>1350</v>
      </c>
      <c r="H88" s="325">
        <v>0</v>
      </c>
      <c r="I88" s="1366">
        <v>1282</v>
      </c>
    </row>
    <row r="89" spans="1:9" s="347" customFormat="1" ht="15.75" customHeight="1" thickBot="1">
      <c r="A89" s="209"/>
      <c r="B89" s="359" t="s">
        <v>414</v>
      </c>
      <c r="C89" s="360" t="s">
        <v>248</v>
      </c>
      <c r="D89" s="251" t="s">
        <v>434</v>
      </c>
      <c r="E89" s="363" t="s">
        <v>435</v>
      </c>
      <c r="F89" s="325">
        <v>540</v>
      </c>
      <c r="G89" s="325">
        <v>540</v>
      </c>
      <c r="H89" s="325">
        <v>0</v>
      </c>
      <c r="I89" s="1366">
        <v>301</v>
      </c>
    </row>
    <row r="90" spans="1:9" s="347" customFormat="1" ht="15.75" customHeight="1" thickBot="1">
      <c r="A90" s="209"/>
      <c r="B90" s="829" t="s">
        <v>414</v>
      </c>
      <c r="C90" s="830" t="s">
        <v>248</v>
      </c>
      <c r="D90" s="830" t="s">
        <v>436</v>
      </c>
      <c r="E90" s="253" t="s">
        <v>437</v>
      </c>
      <c r="F90" s="325">
        <v>0</v>
      </c>
      <c r="G90" s="325">
        <v>1000</v>
      </c>
      <c r="H90" s="325">
        <v>0</v>
      </c>
      <c r="I90" s="1366">
        <v>432</v>
      </c>
    </row>
    <row r="91" spans="1:9" s="347" customFormat="1" ht="15.75" customHeight="1" thickBot="1">
      <c r="A91" s="209"/>
      <c r="B91" s="829" t="s">
        <v>229</v>
      </c>
      <c r="C91" s="830" t="s">
        <v>248</v>
      </c>
      <c r="D91" s="830" t="s">
        <v>438</v>
      </c>
      <c r="E91" s="253" t="s">
        <v>439</v>
      </c>
      <c r="F91" s="325">
        <v>100</v>
      </c>
      <c r="G91" s="325">
        <v>100</v>
      </c>
      <c r="H91" s="325">
        <v>0</v>
      </c>
      <c r="I91" s="1366">
        <v>0</v>
      </c>
    </row>
    <row r="92" spans="1:9" s="347" customFormat="1" ht="15.75" customHeight="1" thickBot="1">
      <c r="A92" s="209"/>
      <c r="B92" s="829" t="s">
        <v>357</v>
      </c>
      <c r="C92" s="830" t="s">
        <v>440</v>
      </c>
      <c r="D92" s="830" t="s">
        <v>399</v>
      </c>
      <c r="E92" s="253" t="s">
        <v>441</v>
      </c>
      <c r="F92" s="325">
        <v>4500</v>
      </c>
      <c r="G92" s="325">
        <v>4500</v>
      </c>
      <c r="H92" s="325">
        <v>0</v>
      </c>
      <c r="I92" s="1366">
        <v>0</v>
      </c>
    </row>
    <row r="93" spans="1:9" s="347" customFormat="1" ht="15.75" customHeight="1" thickBot="1">
      <c r="A93" s="209"/>
      <c r="B93" s="829" t="s">
        <v>357</v>
      </c>
      <c r="C93" s="830" t="s">
        <v>440</v>
      </c>
      <c r="D93" s="830" t="s">
        <v>399</v>
      </c>
      <c r="E93" s="253" t="s">
        <v>442</v>
      </c>
      <c r="F93" s="325">
        <v>1600</v>
      </c>
      <c r="G93" s="325">
        <v>1600</v>
      </c>
      <c r="H93" s="325">
        <v>0</v>
      </c>
      <c r="I93" s="1366">
        <v>0</v>
      </c>
    </row>
    <row r="94" spans="1:9" s="347" customFormat="1" ht="15.75" customHeight="1" thickBot="1">
      <c r="A94" s="209"/>
      <c r="B94" s="829" t="s">
        <v>357</v>
      </c>
      <c r="C94" s="830" t="s">
        <v>443</v>
      </c>
      <c r="D94" s="830" t="s">
        <v>399</v>
      </c>
      <c r="E94" s="342" t="s">
        <v>444</v>
      </c>
      <c r="F94" s="325">
        <v>0</v>
      </c>
      <c r="G94" s="325">
        <f>43.62142+31.6935</f>
        <v>75.314920000000001</v>
      </c>
      <c r="H94" s="325">
        <v>0</v>
      </c>
      <c r="I94" s="1366">
        <v>0</v>
      </c>
    </row>
    <row r="95" spans="1:9" s="347" customFormat="1" ht="15.75" customHeight="1" thickBot="1">
      <c r="A95" s="209"/>
      <c r="B95" s="829" t="s">
        <v>406</v>
      </c>
      <c r="C95" s="830" t="s">
        <v>440</v>
      </c>
      <c r="D95" s="830" t="s">
        <v>407</v>
      </c>
      <c r="E95" s="253" t="s">
        <v>445</v>
      </c>
      <c r="F95" s="325">
        <v>1000</v>
      </c>
      <c r="G95" s="325">
        <v>1000</v>
      </c>
      <c r="H95" s="325">
        <v>0</v>
      </c>
      <c r="I95" s="1366">
        <v>824.58299999999997</v>
      </c>
    </row>
    <row r="96" spans="1:9" s="347" customFormat="1" ht="15.75" customHeight="1" thickBot="1">
      <c r="A96" s="209"/>
      <c r="B96" s="829" t="s">
        <v>402</v>
      </c>
      <c r="C96" s="830" t="s">
        <v>440</v>
      </c>
      <c r="D96" s="830" t="s">
        <v>403</v>
      </c>
      <c r="E96" s="253" t="s">
        <v>450</v>
      </c>
      <c r="F96" s="325">
        <v>7000</v>
      </c>
      <c r="G96" s="325">
        <v>7000</v>
      </c>
      <c r="H96" s="325">
        <v>0</v>
      </c>
      <c r="I96" s="1366">
        <v>7000</v>
      </c>
    </row>
    <row r="97" spans="1:12" s="347" customFormat="1" ht="13.5" customHeight="1" thickBot="1">
      <c r="A97" s="209"/>
      <c r="B97" s="829" t="s">
        <v>402</v>
      </c>
      <c r="C97" s="830" t="s">
        <v>440</v>
      </c>
      <c r="D97" s="830" t="s">
        <v>403</v>
      </c>
      <c r="E97" s="253" t="s">
        <v>451</v>
      </c>
      <c r="F97" s="325">
        <v>4600</v>
      </c>
      <c r="G97" s="325">
        <v>4600</v>
      </c>
      <c r="H97" s="325">
        <v>0</v>
      </c>
      <c r="I97" s="1366">
        <v>4600</v>
      </c>
    </row>
    <row r="98" spans="1:12" s="347" customFormat="1" ht="15.75" customHeight="1" thickBot="1">
      <c r="A98" s="209"/>
      <c r="B98" s="829" t="s">
        <v>402</v>
      </c>
      <c r="C98" s="830" t="s">
        <v>440</v>
      </c>
      <c r="D98" s="830" t="s">
        <v>403</v>
      </c>
      <c r="E98" s="253" t="s">
        <v>452</v>
      </c>
      <c r="F98" s="325">
        <v>3500</v>
      </c>
      <c r="G98" s="325">
        <v>3500</v>
      </c>
      <c r="H98" s="325">
        <v>0</v>
      </c>
      <c r="I98" s="1366">
        <v>2500</v>
      </c>
    </row>
    <row r="99" spans="1:12" s="347" customFormat="1" ht="15.75" customHeight="1" thickBot="1">
      <c r="A99" s="209"/>
      <c r="B99" s="829" t="s">
        <v>402</v>
      </c>
      <c r="C99" s="830" t="s">
        <v>440</v>
      </c>
      <c r="D99" s="830" t="s">
        <v>403</v>
      </c>
      <c r="E99" s="253" t="s">
        <v>453</v>
      </c>
      <c r="F99" s="325">
        <v>350</v>
      </c>
      <c r="G99" s="325">
        <v>350</v>
      </c>
      <c r="H99" s="325">
        <v>0</v>
      </c>
      <c r="I99" s="1366">
        <v>0</v>
      </c>
    </row>
    <row r="100" spans="1:12" s="347" customFormat="1" ht="15.75" customHeight="1" thickBot="1">
      <c r="A100" s="209"/>
      <c r="B100" s="829" t="s">
        <v>402</v>
      </c>
      <c r="C100" s="830" t="s">
        <v>440</v>
      </c>
      <c r="D100" s="830" t="s">
        <v>403</v>
      </c>
      <c r="E100" s="253" t="s">
        <v>454</v>
      </c>
      <c r="F100" s="325">
        <v>200</v>
      </c>
      <c r="G100" s="325">
        <v>200</v>
      </c>
      <c r="H100" s="325">
        <v>0</v>
      </c>
      <c r="I100" s="1366">
        <v>0</v>
      </c>
    </row>
    <row r="101" spans="1:12" s="347" customFormat="1" ht="15.75" customHeight="1" thickBot="1">
      <c r="A101" s="209"/>
      <c r="B101" s="829" t="s">
        <v>402</v>
      </c>
      <c r="C101" s="830" t="s">
        <v>440</v>
      </c>
      <c r="D101" s="830" t="s">
        <v>403</v>
      </c>
      <c r="E101" s="253" t="s">
        <v>455</v>
      </c>
      <c r="F101" s="784">
        <v>0</v>
      </c>
      <c r="G101" s="784">
        <v>425.91899999999998</v>
      </c>
      <c r="H101" s="784">
        <v>0</v>
      </c>
      <c r="I101" s="1394">
        <v>0</v>
      </c>
    </row>
    <row r="102" spans="1:12" s="347" customFormat="1" ht="15.75" customHeight="1" thickBot="1">
      <c r="A102" s="209"/>
      <c r="B102" s="835" t="s">
        <v>402</v>
      </c>
      <c r="C102" s="836" t="s">
        <v>440</v>
      </c>
      <c r="D102" s="836" t="s">
        <v>403</v>
      </c>
      <c r="E102" s="364" t="s">
        <v>456</v>
      </c>
      <c r="F102" s="55">
        <v>4500</v>
      </c>
      <c r="G102" s="55">
        <v>4500</v>
      </c>
      <c r="H102" s="55">
        <v>0</v>
      </c>
      <c r="I102" s="1362">
        <v>4500</v>
      </c>
    </row>
    <row r="103" spans="1:12" s="286" customFormat="1" ht="6" customHeight="1" thickTop="1" thickBot="1">
      <c r="A103" s="239"/>
      <c r="B103" s="21"/>
      <c r="C103" s="21"/>
      <c r="D103" s="21"/>
      <c r="E103" s="20"/>
      <c r="F103" s="722"/>
      <c r="G103" s="722"/>
      <c r="H103" s="722"/>
      <c r="I103" s="722"/>
    </row>
    <row r="104" spans="1:12" s="46" customFormat="1" ht="15.75" customHeight="1" thickTop="1" thickBot="1">
      <c r="A104" s="203"/>
      <c r="B104" s="265"/>
      <c r="C104" s="265"/>
      <c r="D104" s="265"/>
      <c r="E104" s="365" t="s">
        <v>32</v>
      </c>
      <c r="F104" s="366">
        <f>SUM(F56:F58,F70,F73:F102,F60:F63,F66:F67,)</f>
        <v>46971</v>
      </c>
      <c r="G104" s="366">
        <f>SUM(G56:G58,G70,G73:G102,G60:G63,G66:G67,)</f>
        <v>57419.584739999998</v>
      </c>
      <c r="H104" s="366">
        <f t="shared" ref="H104:I104" si="1">SUM(H56:H58,H70,H73:H102,H60:H63,H66:H67,)</f>
        <v>12745</v>
      </c>
      <c r="I104" s="1389">
        <f t="shared" si="1"/>
        <v>40585.582999999999</v>
      </c>
      <c r="J104" s="1793"/>
    </row>
    <row r="105" spans="1:12" s="46" customFormat="1" ht="7.5" customHeight="1" thickTop="1" thickBot="1">
      <c r="A105" s="203"/>
      <c r="B105" s="265"/>
      <c r="C105" s="265"/>
      <c r="D105" s="265"/>
      <c r="E105" s="48"/>
      <c r="F105" s="2"/>
      <c r="G105" s="2"/>
      <c r="H105" s="2"/>
      <c r="I105" s="2"/>
    </row>
    <row r="106" spans="1:12" s="44" customFormat="1" ht="15.75" customHeight="1" thickTop="1" thickBot="1">
      <c r="A106" s="203"/>
      <c r="B106" s="175"/>
      <c r="C106" s="176"/>
      <c r="D106" s="176"/>
      <c r="E106" s="177" t="s">
        <v>457</v>
      </c>
      <c r="F106" s="6">
        <f>SUM(F47,F104)</f>
        <v>211485</v>
      </c>
      <c r="G106" s="6">
        <f>SUM(G47,G104)</f>
        <v>229428.39575</v>
      </c>
      <c r="H106" s="6">
        <f>SUM(H47,H104)</f>
        <v>167614</v>
      </c>
      <c r="I106" s="45">
        <f>SUM(I47,I104)</f>
        <v>195757.58299999998</v>
      </c>
      <c r="J106" s="432"/>
      <c r="L106" s="432"/>
    </row>
    <row r="107" spans="1:12" ht="15.75" customHeight="1" thickTop="1"/>
    <row r="112" spans="1:12" ht="13.5" customHeight="1"/>
  </sheetData>
  <mergeCells count="18">
    <mergeCell ref="B39:E39"/>
    <mergeCell ref="F52:F54"/>
    <mergeCell ref="B66:E66"/>
    <mergeCell ref="B70:E70"/>
    <mergeCell ref="B73:E73"/>
    <mergeCell ref="I52:I54"/>
    <mergeCell ref="I4:I6"/>
    <mergeCell ref="B52:B53"/>
    <mergeCell ref="C52:C53"/>
    <mergeCell ref="D52:D53"/>
    <mergeCell ref="G4:G6"/>
    <mergeCell ref="G52:G54"/>
    <mergeCell ref="H4:H6"/>
    <mergeCell ref="F4:F6"/>
    <mergeCell ref="B15:E15"/>
    <mergeCell ref="B22:E22"/>
    <mergeCell ref="H52:H54"/>
    <mergeCell ref="B33:E33"/>
  </mergeCells>
  <printOptions horizontalCentered="1"/>
  <pageMargins left="0.78740157480314965" right="0.78740157480314965" top="0.78740157480314965" bottom="0.78740157480314965" header="0.39370078740157483" footer="0.39370078740157483"/>
  <pageSetup paperSize="9" scale="85" firstPageNumber="81" orientation="portrait" useFirstPageNumber="1" r:id="rId1"/>
  <headerFooter>
    <oddHeader>&amp;C&amp;"+,Tučné"II. Rozpis rozpočtu</oddHeader>
    <oddFooter>&amp;C&amp;"-,Obyčejné" &amp;P</oddFooter>
  </headerFooter>
  <rowBreaks count="1" manualBreakCount="1">
    <brk id="48" min="1" max="8" man="1"/>
  </rowBreaks>
  <ignoredErrors>
    <ignoredError sqref="D7:D14 D16:D18 D23:D32 D35:D38 D40:D44 B7:C14 B16 B23:C25 B34:D34 B40:C44 B79:D102 B58:D58 D59 D21" numberStoredAsText="1"/>
    <ignoredError sqref="F39:H39 F33:H33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56"/>
  <sheetViews>
    <sheetView tabSelected="1" showWhiteSpace="0" zoomScaleNormal="100" workbookViewId="0">
      <selection activeCell="F54" sqref="F54"/>
    </sheetView>
  </sheetViews>
  <sheetFormatPr defaultRowHeight="15"/>
  <cols>
    <col min="1" max="1" width="8.7109375" style="1" customWidth="1"/>
    <col min="2" max="2" width="5.140625" style="1" customWidth="1"/>
    <col min="3" max="3" width="46.28515625" style="1" customWidth="1"/>
    <col min="4" max="5" width="15.7109375" style="1" customWidth="1"/>
    <col min="6" max="6" width="9.7109375" style="3" bestFit="1" customWidth="1"/>
    <col min="7" max="8" width="9.140625" style="3"/>
    <col min="9" max="9" width="11.85546875" style="972" bestFit="1" customWidth="1"/>
    <col min="10" max="11" width="9.5703125" style="3" bestFit="1" customWidth="1"/>
    <col min="12" max="12" width="9.140625" style="3"/>
    <col min="13" max="16384" width="9.140625" style="1"/>
  </cols>
  <sheetData>
    <row r="1" spans="1:5" ht="15" customHeight="1">
      <c r="A1" s="970"/>
      <c r="B1" s="970"/>
      <c r="C1" s="970"/>
      <c r="D1" s="970"/>
      <c r="E1" s="970"/>
    </row>
    <row r="2" spans="1:5" ht="15" customHeight="1">
      <c r="A2" s="970"/>
      <c r="B2" s="970"/>
      <c r="C2" s="970"/>
      <c r="D2" s="970"/>
      <c r="E2" s="970"/>
    </row>
    <row r="3" spans="1:5" ht="15" customHeight="1">
      <c r="A3" s="970"/>
      <c r="B3" s="970"/>
      <c r="C3" s="970"/>
      <c r="D3" s="970"/>
      <c r="E3" s="970"/>
    </row>
    <row r="4" spans="1:5" ht="15" customHeight="1">
      <c r="A4" s="970"/>
      <c r="B4" s="970"/>
      <c r="C4" s="970"/>
      <c r="D4" s="970"/>
      <c r="E4" s="970"/>
    </row>
    <row r="5" spans="1:5">
      <c r="A5" s="971"/>
      <c r="B5" s="971"/>
      <c r="C5" s="971"/>
      <c r="D5" s="971"/>
      <c r="E5" s="971"/>
    </row>
    <row r="6" spans="1:5">
      <c r="A6" s="971"/>
      <c r="B6" s="971"/>
      <c r="C6" s="971"/>
      <c r="D6" s="971"/>
      <c r="E6" s="971"/>
    </row>
    <row r="7" spans="1:5">
      <c r="A7" s="971"/>
      <c r="B7" s="971"/>
      <c r="C7" s="971"/>
      <c r="D7" s="971"/>
      <c r="E7" s="971"/>
    </row>
    <row r="8" spans="1:5">
      <c r="A8" s="971"/>
      <c r="B8" s="971"/>
      <c r="C8" s="971"/>
      <c r="D8" s="971"/>
      <c r="E8" s="971"/>
    </row>
    <row r="9" spans="1:5">
      <c r="A9" s="971"/>
      <c r="B9" s="971"/>
      <c r="C9" s="971"/>
      <c r="D9" s="971"/>
      <c r="E9" s="971"/>
    </row>
    <row r="10" spans="1:5">
      <c r="A10" s="971"/>
      <c r="B10" s="971"/>
      <c r="C10" s="971"/>
      <c r="D10" s="971"/>
      <c r="E10" s="971"/>
    </row>
    <row r="11" spans="1:5">
      <c r="A11" s="971"/>
      <c r="B11" s="971"/>
      <c r="C11" s="971"/>
      <c r="D11" s="971"/>
      <c r="E11" s="971"/>
    </row>
    <row r="12" spans="1:5">
      <c r="A12" s="971"/>
      <c r="B12" s="971"/>
      <c r="C12" s="971"/>
      <c r="D12" s="971"/>
      <c r="E12" s="971"/>
    </row>
    <row r="13" spans="1:5">
      <c r="A13" s="971"/>
      <c r="B13" s="971"/>
      <c r="C13" s="971"/>
      <c r="D13" s="971"/>
      <c r="E13" s="971"/>
    </row>
    <row r="14" spans="1:5">
      <c r="A14" s="971"/>
      <c r="B14" s="971"/>
      <c r="C14" s="971"/>
      <c r="D14" s="971"/>
      <c r="E14" s="971"/>
    </row>
    <row r="15" spans="1:5">
      <c r="A15" s="971"/>
      <c r="B15" s="971"/>
      <c r="C15" s="971"/>
      <c r="D15" s="971"/>
      <c r="E15" s="971"/>
    </row>
    <row r="16" spans="1:5">
      <c r="A16" s="971"/>
      <c r="B16" s="971"/>
      <c r="C16" s="971"/>
      <c r="D16" s="971"/>
      <c r="E16" s="971"/>
    </row>
    <row r="17" spans="1:12">
      <c r="A17" s="971"/>
      <c r="B17" s="971"/>
      <c r="C17" s="971"/>
      <c r="D17" s="971"/>
      <c r="E17" s="971"/>
    </row>
    <row r="18" spans="1:12">
      <c r="A18" s="971"/>
      <c r="B18" s="971"/>
      <c r="C18" s="971"/>
      <c r="D18" s="971"/>
      <c r="E18" s="971"/>
    </row>
    <row r="19" spans="1:12">
      <c r="A19" s="971"/>
      <c r="B19" s="971"/>
      <c r="C19" s="971"/>
      <c r="D19" s="971"/>
      <c r="E19" s="971"/>
    </row>
    <row r="20" spans="1:12">
      <c r="A20" s="971"/>
      <c r="B20" s="971"/>
      <c r="C20" s="971"/>
      <c r="D20" s="971"/>
      <c r="E20" s="971"/>
    </row>
    <row r="21" spans="1:12">
      <c r="A21" s="971"/>
      <c r="B21" s="971"/>
      <c r="C21" s="971"/>
      <c r="D21" s="971"/>
      <c r="E21" s="971"/>
    </row>
    <row r="22" spans="1:12">
      <c r="A22" s="971"/>
      <c r="B22" s="971"/>
      <c r="C22" s="971"/>
      <c r="D22" s="971"/>
      <c r="E22" s="971"/>
    </row>
    <row r="23" spans="1:12">
      <c r="A23" s="971"/>
      <c r="B23" s="971"/>
      <c r="C23" s="971"/>
      <c r="D23" s="971"/>
      <c r="E23" s="971"/>
    </row>
    <row r="24" spans="1:12">
      <c r="A24" s="971"/>
      <c r="B24" s="971"/>
      <c r="C24" s="971"/>
      <c r="D24" s="971"/>
      <c r="E24" s="971"/>
    </row>
    <row r="25" spans="1:12">
      <c r="A25" s="971"/>
      <c r="B25" s="971"/>
      <c r="C25" s="971"/>
      <c r="D25" s="971"/>
      <c r="E25" s="971"/>
    </row>
    <row r="26" spans="1:12">
      <c r="A26" s="971"/>
      <c r="B26" s="971"/>
      <c r="C26" s="971"/>
      <c r="D26" s="971"/>
      <c r="E26" s="971"/>
    </row>
    <row r="27" spans="1:12">
      <c r="A27" s="971"/>
      <c r="B27" s="971"/>
      <c r="C27" s="971"/>
      <c r="D27" s="971"/>
      <c r="E27" s="971"/>
    </row>
    <row r="28" spans="1:12">
      <c r="A28" s="971"/>
      <c r="B28" s="971"/>
      <c r="C28" s="971"/>
      <c r="D28" s="971"/>
      <c r="E28" s="971"/>
    </row>
    <row r="29" spans="1:12">
      <c r="A29" s="971"/>
      <c r="B29" s="971"/>
      <c r="C29" s="971"/>
      <c r="D29" s="971"/>
      <c r="E29" s="971"/>
    </row>
    <row r="30" spans="1:12">
      <c r="A30" s="971"/>
      <c r="B30" s="971"/>
      <c r="C30" s="971"/>
      <c r="D30" s="971"/>
      <c r="E30" s="971"/>
      <c r="H30" s="973"/>
      <c r="I30" s="974"/>
    </row>
    <row r="31" spans="1:12">
      <c r="A31" s="971"/>
      <c r="B31" s="971"/>
      <c r="C31" s="971"/>
      <c r="D31" s="971"/>
      <c r="E31" s="971"/>
    </row>
    <row r="32" spans="1:12" s="976" customFormat="1" ht="15.75" thickBot="1">
      <c r="A32" s="971"/>
      <c r="B32" s="971"/>
      <c r="C32" s="971"/>
      <c r="D32" s="975" t="s">
        <v>1212</v>
      </c>
      <c r="E32" s="975"/>
      <c r="F32" s="3"/>
      <c r="G32" s="3"/>
      <c r="H32" s="3"/>
      <c r="I32" s="972"/>
      <c r="J32" s="3"/>
      <c r="K32" s="3"/>
      <c r="L32" s="3"/>
    </row>
    <row r="33" spans="1:12" s="976" customFormat="1" ht="19.5" thickTop="1">
      <c r="A33" s="971"/>
      <c r="B33" s="971"/>
      <c r="C33" s="971"/>
      <c r="D33" s="977" t="s">
        <v>1513</v>
      </c>
      <c r="E33" s="977" t="s">
        <v>47</v>
      </c>
      <c r="F33" s="3"/>
      <c r="G33" s="3"/>
      <c r="H33" s="3"/>
      <c r="I33" s="972"/>
      <c r="J33" s="3"/>
      <c r="K33" s="3"/>
      <c r="L33" s="3"/>
    </row>
    <row r="34" spans="1:12" s="976" customFormat="1" ht="18.75">
      <c r="A34" s="971"/>
      <c r="B34" s="971"/>
      <c r="C34" s="971"/>
      <c r="D34" s="978" t="s">
        <v>39</v>
      </c>
      <c r="E34" s="978" t="s">
        <v>39</v>
      </c>
      <c r="F34" s="3"/>
      <c r="G34" s="3"/>
      <c r="H34" s="3"/>
      <c r="I34" s="972"/>
      <c r="J34" s="3"/>
      <c r="K34" s="3"/>
      <c r="L34" s="3"/>
    </row>
    <row r="35" spans="1:12" s="976" customFormat="1" ht="19.5" thickBot="1">
      <c r="A35" s="971"/>
      <c r="B35" s="971"/>
      <c r="C35" s="971"/>
      <c r="D35" s="979">
        <v>2014</v>
      </c>
      <c r="E35" s="979">
        <v>2014</v>
      </c>
      <c r="F35" s="3"/>
      <c r="G35" s="3"/>
      <c r="H35" s="3"/>
      <c r="I35" s="972"/>
      <c r="J35" s="3"/>
      <c r="K35" s="3"/>
      <c r="L35" s="3"/>
    </row>
    <row r="36" spans="1:12" s="976" customFormat="1" ht="6" customHeight="1" thickTop="1" thickBot="1">
      <c r="A36" s="971"/>
      <c r="B36" s="971"/>
      <c r="C36" s="971"/>
      <c r="D36" s="971"/>
      <c r="E36" s="971"/>
      <c r="F36" s="3"/>
      <c r="G36" s="3"/>
      <c r="H36" s="3"/>
      <c r="J36" s="3"/>
      <c r="K36" s="3"/>
      <c r="L36" s="3"/>
    </row>
    <row r="37" spans="1:12" s="984" customFormat="1" ht="17.25" thickTop="1" thickBot="1">
      <c r="A37" s="980"/>
      <c r="B37" s="981">
        <v>1</v>
      </c>
      <c r="C37" s="982" t="s">
        <v>1213</v>
      </c>
      <c r="D37" s="983">
        <f>'Příjmy 2014 '!E91</f>
        <v>1046315</v>
      </c>
      <c r="E37" s="983">
        <f>'Příjmy 2014 '!F91</f>
        <v>1046366.219</v>
      </c>
      <c r="F37" s="256"/>
      <c r="G37" s="256"/>
      <c r="H37" s="256"/>
      <c r="I37" s="972"/>
      <c r="J37" s="256"/>
      <c r="K37" s="256"/>
      <c r="L37" s="256"/>
    </row>
    <row r="38" spans="1:12" s="984" customFormat="1" ht="16.5" thickBot="1">
      <c r="A38" s="980"/>
      <c r="B38" s="985">
        <v>2</v>
      </c>
      <c r="C38" s="986" t="s">
        <v>1214</v>
      </c>
      <c r="D38" s="987">
        <f>SUM(D48-D37)</f>
        <v>103839.91200000001</v>
      </c>
      <c r="E38" s="987">
        <f>'Příjmy 2014 '!F93</f>
        <v>295719.77700000023</v>
      </c>
      <c r="F38" s="824"/>
      <c r="G38" s="256"/>
      <c r="H38" s="256"/>
      <c r="I38" s="988"/>
      <c r="J38" s="824"/>
      <c r="K38" s="256"/>
      <c r="L38" s="256"/>
    </row>
    <row r="39" spans="1:12" s="984" customFormat="1" ht="17.25" thickTop="1" thickBot="1">
      <c r="A39" s="980"/>
      <c r="B39" s="989"/>
      <c r="C39" s="990" t="s">
        <v>1215</v>
      </c>
      <c r="D39" s="991">
        <f>SUM(D38-D40)</f>
        <v>103839.91200000001</v>
      </c>
      <c r="E39" s="991">
        <f>'Příjmy 2014 '!F93</f>
        <v>295719.77700000023</v>
      </c>
      <c r="F39" s="256"/>
      <c r="G39" s="256"/>
      <c r="H39" s="256"/>
      <c r="I39" s="988"/>
      <c r="J39" s="256"/>
      <c r="K39" s="256"/>
      <c r="L39" s="256"/>
    </row>
    <row r="40" spans="1:12" s="984" customFormat="1" ht="16.5" thickBot="1">
      <c r="A40" s="980"/>
      <c r="B40" s="989"/>
      <c r="C40" s="992" t="s">
        <v>1216</v>
      </c>
      <c r="D40" s="993">
        <v>0</v>
      </c>
      <c r="E40" s="993">
        <v>0</v>
      </c>
      <c r="G40" s="824"/>
      <c r="H40" s="256"/>
      <c r="I40" s="988"/>
      <c r="J40" s="256"/>
      <c r="K40" s="824"/>
      <c r="L40" s="256"/>
    </row>
    <row r="41" spans="1:12" s="984" customFormat="1" ht="20.25" customHeight="1" thickTop="1" thickBot="1">
      <c r="A41" s="980"/>
      <c r="C41" s="994" t="s">
        <v>1217</v>
      </c>
      <c r="D41" s="995">
        <f>SUM(D37:D38)</f>
        <v>1150154.912</v>
      </c>
      <c r="E41" s="995">
        <f>SUM(E37:E38)</f>
        <v>1342085.9960000003</v>
      </c>
      <c r="F41" s="256"/>
      <c r="G41" s="256"/>
      <c r="H41" s="256"/>
      <c r="I41" s="988"/>
      <c r="J41" s="256"/>
      <c r="K41" s="256"/>
      <c r="L41" s="256"/>
    </row>
    <row r="42" spans="1:12" s="984" customFormat="1" ht="16.5" thickTop="1">
      <c r="A42" s="980"/>
      <c r="B42" s="996"/>
      <c r="C42" s="997"/>
      <c r="D42" s="998"/>
      <c r="E42" s="998"/>
      <c r="F42" s="256"/>
      <c r="G42" s="256"/>
      <c r="H42" s="256"/>
      <c r="I42" s="988"/>
      <c r="J42" s="256"/>
      <c r="K42" s="256"/>
      <c r="L42" s="256"/>
    </row>
    <row r="43" spans="1:12" s="984" customFormat="1" ht="15.75">
      <c r="A43" s="980"/>
      <c r="B43" s="996"/>
      <c r="C43" s="997"/>
      <c r="D43" s="998"/>
      <c r="E43" s="998"/>
      <c r="F43" s="256"/>
      <c r="G43" s="256"/>
      <c r="H43" s="256"/>
      <c r="I43" s="988"/>
      <c r="J43" s="256"/>
      <c r="K43" s="256"/>
      <c r="L43" s="256"/>
    </row>
    <row r="44" spans="1:12" s="984" customFormat="1" ht="15.75">
      <c r="A44" s="980"/>
      <c r="B44" s="996"/>
      <c r="C44" s="997"/>
      <c r="D44" s="998"/>
      <c r="E44" s="998"/>
      <c r="F44" s="256"/>
      <c r="G44" s="256"/>
      <c r="H44" s="256"/>
      <c r="I44" s="988"/>
      <c r="J44" s="256"/>
      <c r="K44" s="256"/>
      <c r="L44" s="256"/>
    </row>
    <row r="45" spans="1:12" s="1002" customFormat="1" ht="6" customHeight="1" thickBot="1">
      <c r="A45" s="999"/>
      <c r="B45" s="989"/>
      <c r="C45" s="999"/>
      <c r="D45" s="1000"/>
      <c r="E45" s="1000"/>
      <c r="F45" s="296"/>
      <c r="G45" s="296"/>
      <c r="H45" s="296"/>
      <c r="I45" s="1001"/>
      <c r="J45" s="296"/>
      <c r="K45" s="296"/>
      <c r="L45" s="296"/>
    </row>
    <row r="46" spans="1:12" s="984" customFormat="1" ht="17.25" thickTop="1" thickBot="1">
      <c r="A46" s="980"/>
      <c r="B46" s="981">
        <v>3</v>
      </c>
      <c r="C46" s="982" t="s">
        <v>1218</v>
      </c>
      <c r="D46" s="1003">
        <f>Rekapit.odbory!E55</f>
        <v>820474.652</v>
      </c>
      <c r="E46" s="1003">
        <f>Rekapit.odbory!F55</f>
        <v>870791.45200000005</v>
      </c>
      <c r="F46" s="256"/>
      <c r="G46" s="256"/>
      <c r="H46" s="256"/>
      <c r="I46" s="988"/>
      <c r="J46" s="256"/>
      <c r="K46" s="256"/>
      <c r="L46" s="256"/>
    </row>
    <row r="47" spans="1:12" s="984" customFormat="1" ht="16.5" thickBot="1">
      <c r="A47" s="980"/>
      <c r="B47" s="985">
        <v>4</v>
      </c>
      <c r="C47" s="986" t="s">
        <v>1219</v>
      </c>
      <c r="D47" s="987">
        <f>Rekapit.odbory!E79</f>
        <v>329680.26</v>
      </c>
      <c r="E47" s="987">
        <f>Rekapit.odbory!F79</f>
        <v>471294.54399999999</v>
      </c>
      <c r="F47" s="256"/>
      <c r="G47" s="256"/>
      <c r="H47" s="256"/>
      <c r="I47" s="988"/>
      <c r="J47" s="256"/>
      <c r="K47" s="256"/>
      <c r="L47" s="256"/>
    </row>
    <row r="48" spans="1:12" s="984" customFormat="1" ht="20.25" customHeight="1" thickTop="1" thickBot="1">
      <c r="A48" s="980"/>
      <c r="B48" s="996"/>
      <c r="C48" s="994" t="s">
        <v>1220</v>
      </c>
      <c r="D48" s="995">
        <f>SUM(D46:D47)</f>
        <v>1150154.912</v>
      </c>
      <c r="E48" s="995">
        <f>SUM(E46:E47)</f>
        <v>1342085.996</v>
      </c>
      <c r="F48" s="824"/>
      <c r="G48" s="256"/>
      <c r="H48" s="256"/>
      <c r="I48" s="1004"/>
      <c r="J48" s="256"/>
      <c r="K48" s="256"/>
      <c r="L48" s="256"/>
    </row>
    <row r="49" spans="1:12" s="984" customFormat="1" ht="6" customHeight="1" thickTop="1">
      <c r="A49" s="980"/>
      <c r="B49" s="996"/>
      <c r="C49" s="999"/>
      <c r="D49" s="1000"/>
      <c r="E49" s="1000"/>
      <c r="F49" s="256"/>
      <c r="G49" s="256"/>
      <c r="H49" s="256"/>
      <c r="I49" s="988"/>
      <c r="J49" s="256"/>
      <c r="K49" s="256"/>
      <c r="L49" s="256"/>
    </row>
    <row r="50" spans="1:12" s="984" customFormat="1" ht="15.75">
      <c r="A50" s="980"/>
      <c r="D50" s="1005"/>
      <c r="E50" s="1005"/>
      <c r="F50" s="256"/>
      <c r="G50" s="256"/>
      <c r="H50" s="256"/>
      <c r="I50" s="988"/>
      <c r="J50" s="256"/>
      <c r="K50" s="256"/>
      <c r="L50" s="256"/>
    </row>
    <row r="51" spans="1:12" s="984" customFormat="1" ht="15.75">
      <c r="A51" s="980"/>
      <c r="B51" s="980"/>
      <c r="C51" s="980"/>
      <c r="D51" s="1006"/>
      <c r="E51" s="1006"/>
      <c r="F51" s="256"/>
      <c r="G51" s="256"/>
      <c r="H51" s="256"/>
      <c r="I51" s="988"/>
      <c r="J51" s="256"/>
      <c r="K51" s="256"/>
      <c r="L51" s="256"/>
    </row>
    <row r="52" spans="1:12" s="1007" customFormat="1" ht="14.25">
      <c r="D52" s="1008"/>
      <c r="E52" s="1008"/>
      <c r="F52" s="256"/>
      <c r="G52" s="256"/>
      <c r="H52" s="256"/>
      <c r="I52" s="988"/>
      <c r="J52" s="256"/>
      <c r="K52" s="256"/>
      <c r="L52" s="256"/>
    </row>
    <row r="53" spans="1:12" s="46" customFormat="1">
      <c r="F53" s="3"/>
      <c r="G53" s="3"/>
      <c r="H53" s="3"/>
      <c r="I53" s="972"/>
      <c r="J53" s="3"/>
      <c r="K53" s="3"/>
      <c r="L53" s="3"/>
    </row>
    <row r="54" spans="1:12" s="46" customFormat="1">
      <c r="F54" s="3"/>
      <c r="G54" s="3"/>
      <c r="H54" s="3"/>
      <c r="I54" s="972"/>
      <c r="J54" s="3"/>
      <c r="K54" s="3"/>
      <c r="L54" s="3"/>
    </row>
    <row r="55" spans="1:12" s="46" customFormat="1">
      <c r="F55" s="3"/>
      <c r="G55" s="3"/>
      <c r="H55" s="3"/>
      <c r="I55" s="972"/>
      <c r="J55" s="3"/>
      <c r="K55" s="3"/>
      <c r="L55" s="3"/>
    </row>
    <row r="56" spans="1:12" s="46" customFormat="1">
      <c r="F56" s="3"/>
      <c r="G56" s="3"/>
      <c r="H56" s="3"/>
      <c r="I56" s="972"/>
      <c r="J56" s="3"/>
      <c r="K56" s="3"/>
      <c r="L56" s="3"/>
    </row>
  </sheetData>
  <printOptions horizontalCentered="1"/>
  <pageMargins left="0.78740157480314965" right="0.78740157480314965" top="0.78740157480314965" bottom="0.78740157480314965" header="0.39370078740157483" footer="0.39370078740157483"/>
  <pageSetup paperSize="9" orientation="portrait" r:id="rId1"/>
  <headerFooter>
    <oddHeader>&amp;C&amp;"+,Tučné"I. Závazné ukazatele</oddHeader>
    <oddFooter>&amp;C&amp;"-,Obyčejné"&amp;P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7"/>
  <sheetViews>
    <sheetView zoomScaleNormal="100" workbookViewId="0">
      <pane ySplit="3" topLeftCell="A7" activePane="bottomLeft" state="frozen"/>
      <selection pane="bottomLeft" activeCell="E33" sqref="E33"/>
    </sheetView>
  </sheetViews>
  <sheetFormatPr defaultRowHeight="15"/>
  <cols>
    <col min="1" max="1" width="4.85546875" style="1039" customWidth="1"/>
    <col min="2" max="2" width="50.28515625" style="1039" customWidth="1"/>
    <col min="3" max="3" width="11.140625" style="1039" customWidth="1"/>
    <col min="4" max="5" width="10" style="1121" customWidth="1"/>
    <col min="6" max="16384" width="9.140625" style="1039"/>
  </cols>
  <sheetData>
    <row r="1" spans="1:6" ht="16.5" customHeight="1" thickTop="1" thickBot="1">
      <c r="A1" s="1921" t="s">
        <v>1254</v>
      </c>
      <c r="B1" s="1924" t="s">
        <v>1255</v>
      </c>
      <c r="C1" s="1927" t="s">
        <v>1256</v>
      </c>
      <c r="D1" s="1916" t="s">
        <v>43</v>
      </c>
      <c r="E1" s="1916" t="s">
        <v>1487</v>
      </c>
      <c r="F1" s="1913" t="s">
        <v>1488</v>
      </c>
    </row>
    <row r="2" spans="1:6" ht="15.75" thickBot="1">
      <c r="A2" s="1922"/>
      <c r="B2" s="1925"/>
      <c r="C2" s="1928"/>
      <c r="D2" s="1917"/>
      <c r="E2" s="1917"/>
      <c r="F2" s="1914"/>
    </row>
    <row r="3" spans="1:6" ht="15.75" thickBot="1">
      <c r="A3" s="1923"/>
      <c r="B3" s="1926"/>
      <c r="C3" s="1929"/>
      <c r="D3" s="1918"/>
      <c r="E3" s="1918"/>
      <c r="F3" s="1915"/>
    </row>
    <row r="4" spans="1:6" ht="15.75" customHeight="1" thickTop="1" thickBot="1">
      <c r="A4" s="1040">
        <v>1111</v>
      </c>
      <c r="B4" s="1041" t="s">
        <v>1257</v>
      </c>
      <c r="C4" s="1042">
        <v>112427</v>
      </c>
      <c r="D4" s="1043">
        <v>127087</v>
      </c>
      <c r="E4" s="1043">
        <v>128000</v>
      </c>
      <c r="F4" s="1043">
        <v>128000</v>
      </c>
    </row>
    <row r="5" spans="1:6" ht="15.75" customHeight="1" thickBot="1">
      <c r="A5" s="1045">
        <v>1112</v>
      </c>
      <c r="B5" s="1046" t="s">
        <v>1258</v>
      </c>
      <c r="C5" s="1047">
        <v>20086</v>
      </c>
      <c r="D5" s="1047">
        <v>18898.800000000003</v>
      </c>
      <c r="E5" s="1047">
        <v>19000</v>
      </c>
      <c r="F5" s="1047">
        <v>19000</v>
      </c>
    </row>
    <row r="6" spans="1:6" ht="15.75" customHeight="1" thickBot="1">
      <c r="A6" s="1045">
        <v>1113</v>
      </c>
      <c r="B6" s="1046" t="s">
        <v>1259</v>
      </c>
      <c r="C6" s="1047">
        <v>11057</v>
      </c>
      <c r="D6" s="1047">
        <v>11122</v>
      </c>
      <c r="E6" s="1047">
        <v>12000</v>
      </c>
      <c r="F6" s="1047">
        <v>12000</v>
      </c>
    </row>
    <row r="7" spans="1:6" ht="15.75" customHeight="1" thickBot="1">
      <c r="A7" s="1048">
        <v>111</v>
      </c>
      <c r="B7" s="1049" t="s">
        <v>1260</v>
      </c>
      <c r="C7" s="1050">
        <f>SUM(C4:C6)</f>
        <v>143570</v>
      </c>
      <c r="D7" s="1051">
        <f>SUM(D4:D6)</f>
        <v>157107.79999999999</v>
      </c>
      <c r="E7" s="1051">
        <f>SUM(E4:E6)</f>
        <v>159000</v>
      </c>
      <c r="F7" s="1051">
        <f>SUM(F4:F6)</f>
        <v>159000</v>
      </c>
    </row>
    <row r="8" spans="1:6" ht="15.75" customHeight="1" thickBot="1">
      <c r="A8" s="1045">
        <v>1121</v>
      </c>
      <c r="B8" s="1046" t="s">
        <v>1261</v>
      </c>
      <c r="C8" s="1047">
        <v>108530</v>
      </c>
      <c r="D8" s="1047">
        <v>111115</v>
      </c>
      <c r="E8" s="1047">
        <v>111000</v>
      </c>
      <c r="F8" s="1047">
        <v>111000</v>
      </c>
    </row>
    <row r="9" spans="1:6" ht="15.75" customHeight="1" thickBot="1">
      <c r="A9" s="1045">
        <v>1122</v>
      </c>
      <c r="B9" s="1046" t="s">
        <v>1262</v>
      </c>
      <c r="C9" s="1047">
        <f>22030-C10</f>
        <v>11806</v>
      </c>
      <c r="D9" s="1047">
        <v>11394</v>
      </c>
      <c r="E9" s="1047">
        <v>3000</v>
      </c>
      <c r="F9" s="1047">
        <v>3000</v>
      </c>
    </row>
    <row r="10" spans="1:6" ht="15.75" customHeight="1" thickBot="1">
      <c r="A10" s="1045">
        <v>1122</v>
      </c>
      <c r="B10" s="1053" t="s">
        <v>1263</v>
      </c>
      <c r="C10" s="1047">
        <v>10224</v>
      </c>
      <c r="D10" s="1047">
        <v>50236</v>
      </c>
      <c r="E10" s="1047">
        <v>50000</v>
      </c>
      <c r="F10" s="1047">
        <v>50000</v>
      </c>
    </row>
    <row r="11" spans="1:6" ht="15.75" customHeight="1" thickBot="1">
      <c r="A11" s="1048">
        <v>112</v>
      </c>
      <c r="B11" s="1049" t="s">
        <v>1264</v>
      </c>
      <c r="C11" s="1050">
        <f>SUM(C8:C10)</f>
        <v>130560</v>
      </c>
      <c r="D11" s="1051">
        <f>SUM(D8:D10)</f>
        <v>172745</v>
      </c>
      <c r="E11" s="1051">
        <f>SUM(E8:E10)</f>
        <v>164000</v>
      </c>
      <c r="F11" s="1051">
        <f>SUM(F8:F10)</f>
        <v>164000</v>
      </c>
    </row>
    <row r="12" spans="1:6" s="1057" customFormat="1" ht="15.75" customHeight="1" thickBot="1">
      <c r="A12" s="1048">
        <v>1211</v>
      </c>
      <c r="B12" s="1049" t="s">
        <v>1265</v>
      </c>
      <c r="C12" s="1050">
        <v>217248</v>
      </c>
      <c r="D12" s="1051">
        <f>242753</f>
        <v>242753</v>
      </c>
      <c r="E12" s="1051">
        <v>243000</v>
      </c>
      <c r="F12" s="1051">
        <v>243000</v>
      </c>
    </row>
    <row r="13" spans="1:6" ht="15.75" thickBot="1">
      <c r="A13" s="1048">
        <v>133</v>
      </c>
      <c r="B13" s="1049" t="s">
        <v>1266</v>
      </c>
      <c r="C13" s="1050">
        <f>33+161+1</f>
        <v>195</v>
      </c>
      <c r="D13" s="1051">
        <v>20</v>
      </c>
      <c r="E13" s="1051">
        <v>20</v>
      </c>
      <c r="F13" s="1051">
        <v>20</v>
      </c>
    </row>
    <row r="14" spans="1:6" ht="15.75" thickBot="1">
      <c r="A14" s="1059">
        <v>1341</v>
      </c>
      <c r="B14" s="1046" t="s">
        <v>1267</v>
      </c>
      <c r="C14" s="1060">
        <v>2011</v>
      </c>
      <c r="D14" s="1047">
        <v>2000</v>
      </c>
      <c r="E14" s="1047">
        <v>2000</v>
      </c>
      <c r="F14" s="1047">
        <v>2000</v>
      </c>
    </row>
    <row r="15" spans="1:6" ht="15.75" thickBot="1">
      <c r="A15" s="1059">
        <v>1342</v>
      </c>
      <c r="B15" s="1046" t="s">
        <v>1268</v>
      </c>
      <c r="C15" s="1060">
        <v>23191</v>
      </c>
      <c r="D15" s="1047">
        <v>19000</v>
      </c>
      <c r="E15" s="1047">
        <v>19000</v>
      </c>
      <c r="F15" s="1047">
        <v>19000</v>
      </c>
    </row>
    <row r="16" spans="1:6" ht="15.75" thickBot="1">
      <c r="A16" s="1059">
        <v>1343</v>
      </c>
      <c r="B16" s="1046" t="s">
        <v>1269</v>
      </c>
      <c r="C16" s="1060">
        <v>11660</v>
      </c>
      <c r="D16" s="1047">
        <v>12000</v>
      </c>
      <c r="E16" s="1047">
        <v>12000</v>
      </c>
      <c r="F16" s="1047">
        <v>12000</v>
      </c>
    </row>
    <row r="17" spans="1:6" ht="15.75" thickBot="1">
      <c r="A17" s="1059">
        <v>1345</v>
      </c>
      <c r="B17" s="1046" t="s">
        <v>1270</v>
      </c>
      <c r="C17" s="1060">
        <v>6245</v>
      </c>
      <c r="D17" s="1047">
        <v>5000</v>
      </c>
      <c r="E17" s="1047">
        <v>5000</v>
      </c>
      <c r="F17" s="1047">
        <v>5000</v>
      </c>
    </row>
    <row r="18" spans="1:6" ht="15.75" thickBot="1">
      <c r="A18" s="1059">
        <v>1346</v>
      </c>
      <c r="B18" s="1046" t="s">
        <v>1271</v>
      </c>
      <c r="C18" s="1060">
        <v>7002</v>
      </c>
      <c r="D18" s="1047">
        <v>6000</v>
      </c>
      <c r="E18" s="1047">
        <v>6000</v>
      </c>
      <c r="F18" s="1047">
        <v>6000</v>
      </c>
    </row>
    <row r="19" spans="1:6" ht="15.75" thickBot="1">
      <c r="A19" s="1059">
        <v>1347</v>
      </c>
      <c r="B19" s="1046" t="s">
        <v>1272</v>
      </c>
      <c r="C19" s="1060">
        <v>2488</v>
      </c>
      <c r="D19" s="1047">
        <v>0</v>
      </c>
      <c r="E19" s="1047">
        <v>0</v>
      </c>
      <c r="F19" s="1047">
        <v>0</v>
      </c>
    </row>
    <row r="20" spans="1:6" ht="15.75" thickBot="1">
      <c r="A20" s="1061">
        <v>134</v>
      </c>
      <c r="B20" s="1049" t="s">
        <v>1273</v>
      </c>
      <c r="C20" s="1050">
        <f>SUM(C14:C19)</f>
        <v>52597</v>
      </c>
      <c r="D20" s="1050">
        <f>SUM(D14:D19)</f>
        <v>44000</v>
      </c>
      <c r="E20" s="1050">
        <f>SUM(E14:E19)</f>
        <v>44000</v>
      </c>
      <c r="F20" s="1050">
        <f>SUM(F14:F19)</f>
        <v>44000</v>
      </c>
    </row>
    <row r="21" spans="1:6" ht="15.75" thickBot="1">
      <c r="A21" s="1059">
        <v>1351</v>
      </c>
      <c r="B21" s="1062" t="s">
        <v>1274</v>
      </c>
      <c r="C21" s="1060">
        <v>2273</v>
      </c>
      <c r="D21" s="1047">
        <v>0</v>
      </c>
      <c r="E21" s="1047">
        <v>0</v>
      </c>
      <c r="F21" s="1047">
        <v>0</v>
      </c>
    </row>
    <row r="22" spans="1:6" ht="15.75" thickBot="1">
      <c r="A22" s="1059">
        <v>1351</v>
      </c>
      <c r="B22" s="1062" t="s">
        <v>1275</v>
      </c>
      <c r="C22" s="1060">
        <v>0</v>
      </c>
      <c r="D22" s="1047">
        <v>2000</v>
      </c>
      <c r="E22" s="1047">
        <v>2000</v>
      </c>
      <c r="F22" s="1060">
        <v>2000</v>
      </c>
    </row>
    <row r="23" spans="1:6" ht="15.75" thickBot="1">
      <c r="A23" s="1059">
        <v>1353</v>
      </c>
      <c r="B23" s="1062" t="s">
        <v>1276</v>
      </c>
      <c r="C23" s="1060">
        <v>1595</v>
      </c>
      <c r="D23" s="1047">
        <v>1500</v>
      </c>
      <c r="E23" s="1047">
        <v>1500</v>
      </c>
      <c r="F23" s="1060">
        <v>1500</v>
      </c>
    </row>
    <row r="24" spans="1:6" s="1065" customFormat="1" ht="15.75" thickBot="1">
      <c r="A24" s="1045">
        <v>1355</v>
      </c>
      <c r="B24" s="1064" t="s">
        <v>1277</v>
      </c>
      <c r="C24" s="1060">
        <v>35896</v>
      </c>
      <c r="D24" s="1047">
        <v>38000</v>
      </c>
      <c r="E24" s="1047">
        <v>30000</v>
      </c>
      <c r="F24" s="1060">
        <v>30000</v>
      </c>
    </row>
    <row r="25" spans="1:6" ht="15.75" thickBot="1">
      <c r="A25" s="1059">
        <v>1359</v>
      </c>
      <c r="B25" s="1062" t="s">
        <v>1278</v>
      </c>
      <c r="C25" s="1060">
        <v>140</v>
      </c>
      <c r="D25" s="1047">
        <v>0</v>
      </c>
      <c r="E25" s="1047">
        <v>0</v>
      </c>
      <c r="F25" s="1060">
        <v>0</v>
      </c>
    </row>
    <row r="26" spans="1:6" ht="15.75" thickBot="1">
      <c r="A26" s="1058">
        <v>135</v>
      </c>
      <c r="B26" s="1066" t="s">
        <v>1279</v>
      </c>
      <c r="C26" s="1050">
        <f>SUM(C21:C25)</f>
        <v>39904</v>
      </c>
      <c r="D26" s="1050">
        <f>SUM(D21:D25)</f>
        <v>41500</v>
      </c>
      <c r="E26" s="1050">
        <f>SUM(E21:E25)</f>
        <v>33500</v>
      </c>
      <c r="F26" s="1050">
        <f>SUM(F21:F25)</f>
        <v>33500</v>
      </c>
    </row>
    <row r="27" spans="1:6" ht="15.75" thickBot="1">
      <c r="A27" s="1058">
        <v>1361</v>
      </c>
      <c r="B27" s="1049" t="s">
        <v>1280</v>
      </c>
      <c r="C27" s="1050">
        <v>15003</v>
      </c>
      <c r="D27" s="1050">
        <v>8000</v>
      </c>
      <c r="E27" s="1050">
        <v>10000</v>
      </c>
      <c r="F27" s="1050">
        <v>10000</v>
      </c>
    </row>
    <row r="28" spans="1:6" ht="15.75" thickBot="1">
      <c r="A28" s="1067">
        <v>1511</v>
      </c>
      <c r="B28" s="1068" t="s">
        <v>1281</v>
      </c>
      <c r="C28" s="1069">
        <v>74593</v>
      </c>
      <c r="D28" s="1069">
        <v>72000</v>
      </c>
      <c r="E28" s="1069">
        <v>72000</v>
      </c>
      <c r="F28" s="1069">
        <v>72000</v>
      </c>
    </row>
    <row r="29" spans="1:6" ht="16.5" thickTop="1" thickBot="1">
      <c r="A29" s="1070">
        <v>1</v>
      </c>
      <c r="B29" s="1071" t="s">
        <v>1282</v>
      </c>
      <c r="C29" s="1072">
        <f>SUM(C7,C11:C13,C20,C26:C28)</f>
        <v>673670</v>
      </c>
      <c r="D29" s="1072">
        <f>SUM(D7,D11:D13,D20,D26:D28)</f>
        <v>738125.8</v>
      </c>
      <c r="E29" s="1072">
        <f>SUM(E7,E11:E13,E20,E26:E28)</f>
        <v>725520</v>
      </c>
      <c r="F29" s="1073">
        <f>SUM(F7,F11:F13,F20,F26:F28)</f>
        <v>725520</v>
      </c>
    </row>
    <row r="30" spans="1:6" ht="6" customHeight="1" thickTop="1" thickBot="1">
      <c r="A30" s="1074"/>
      <c r="B30" s="1075"/>
      <c r="C30" s="1076"/>
      <c r="D30" s="1063"/>
      <c r="E30" s="1063"/>
      <c r="F30" s="1063"/>
    </row>
    <row r="31" spans="1:6" ht="16.5" thickTop="1" thickBot="1">
      <c r="A31" s="1077">
        <v>2111</v>
      </c>
      <c r="B31" s="1078" t="s">
        <v>1283</v>
      </c>
      <c r="C31" s="1079">
        <v>33629</v>
      </c>
      <c r="D31" s="1080">
        <v>35000</v>
      </c>
      <c r="E31" s="1080">
        <v>35000</v>
      </c>
      <c r="F31" s="1080">
        <v>35000</v>
      </c>
    </row>
    <row r="32" spans="1:6" ht="15.75" thickBot="1">
      <c r="A32" s="1045">
        <v>2111</v>
      </c>
      <c r="B32" s="1081" t="s">
        <v>1284</v>
      </c>
      <c r="C32" s="1082">
        <v>5145</v>
      </c>
      <c r="D32" s="1083">
        <v>5000</v>
      </c>
      <c r="E32" s="1083">
        <v>5000</v>
      </c>
      <c r="F32" s="1083">
        <v>5000</v>
      </c>
    </row>
    <row r="33" spans="1:6" ht="15.75" thickBot="1">
      <c r="A33" s="1045">
        <v>2111</v>
      </c>
      <c r="B33" s="1081" t="s">
        <v>1285</v>
      </c>
      <c r="C33" s="1082">
        <v>2984</v>
      </c>
      <c r="D33" s="1083">
        <f>1300+50+10+5+50+200+150+23+170+1+10</f>
        <v>1969</v>
      </c>
      <c r="E33" s="1083">
        <v>3000</v>
      </c>
      <c r="F33" s="1083">
        <v>3000</v>
      </c>
    </row>
    <row r="34" spans="1:6" ht="15.75" thickBot="1">
      <c r="A34" s="1045">
        <v>2119</v>
      </c>
      <c r="B34" s="1053" t="s">
        <v>1286</v>
      </c>
      <c r="C34" s="1082">
        <v>1370</v>
      </c>
      <c r="D34" s="1083">
        <v>1300</v>
      </c>
      <c r="E34" s="1083">
        <v>1000</v>
      </c>
      <c r="F34" s="1083">
        <v>1000</v>
      </c>
    </row>
    <row r="35" spans="1:6" ht="15.75" thickBot="1">
      <c r="A35" s="1045">
        <v>2119</v>
      </c>
      <c r="B35" s="1053" t="s">
        <v>1287</v>
      </c>
      <c r="C35" s="1082">
        <v>0</v>
      </c>
      <c r="D35" s="1083">
        <v>0</v>
      </c>
      <c r="E35" s="1083">
        <v>0</v>
      </c>
      <c r="F35" s="1083">
        <v>0</v>
      </c>
    </row>
    <row r="36" spans="1:6" ht="15.75" thickBot="1">
      <c r="A36" s="1059">
        <v>2131</v>
      </c>
      <c r="B36" s="1084" t="s">
        <v>1288</v>
      </c>
      <c r="C36" s="1082">
        <v>0</v>
      </c>
      <c r="D36" s="1083">
        <f>500+2800+600+5000+525</f>
        <v>9425</v>
      </c>
      <c r="E36" s="1083">
        <v>10000</v>
      </c>
      <c r="F36" s="1083">
        <v>10000</v>
      </c>
    </row>
    <row r="37" spans="1:6" ht="15.75" thickBot="1">
      <c r="A37" s="1059">
        <v>2132</v>
      </c>
      <c r="B37" s="1084" t="s">
        <v>1289</v>
      </c>
      <c r="C37" s="1082">
        <v>0</v>
      </c>
      <c r="D37" s="1083">
        <f>15+9400+1500+400+300+49+4+300</f>
        <v>11968</v>
      </c>
      <c r="E37" s="1083">
        <v>22000</v>
      </c>
      <c r="F37" s="1083">
        <v>22000</v>
      </c>
    </row>
    <row r="38" spans="1:6" ht="15.75" thickBot="1">
      <c r="A38" s="1059">
        <v>2133</v>
      </c>
      <c r="B38" s="1084" t="s">
        <v>1290</v>
      </c>
      <c r="C38" s="1082">
        <v>0</v>
      </c>
      <c r="D38" s="1083">
        <f>200</f>
        <v>200</v>
      </c>
      <c r="E38" s="1083">
        <v>300</v>
      </c>
      <c r="F38" s="1083">
        <v>300</v>
      </c>
    </row>
    <row r="39" spans="1:6" ht="15.75" thickBot="1">
      <c r="A39" s="1059">
        <v>2139</v>
      </c>
      <c r="B39" s="1084" t="s">
        <v>1291</v>
      </c>
      <c r="C39" s="1082">
        <v>0</v>
      </c>
      <c r="D39" s="1083">
        <f>285+90</f>
        <v>375</v>
      </c>
      <c r="E39" s="1083">
        <v>500</v>
      </c>
      <c r="F39" s="1083">
        <v>500</v>
      </c>
    </row>
    <row r="40" spans="1:6" ht="15.75" thickBot="1">
      <c r="A40" s="1059">
        <v>2141</v>
      </c>
      <c r="B40" s="1081" t="s">
        <v>1292</v>
      </c>
      <c r="C40" s="1082">
        <v>3313</v>
      </c>
      <c r="D40" s="1083">
        <v>4000</v>
      </c>
      <c r="E40" s="1083">
        <v>1500</v>
      </c>
      <c r="F40" s="1083">
        <v>1500</v>
      </c>
    </row>
    <row r="41" spans="1:6" ht="15.75" thickBot="1">
      <c r="A41" s="1045">
        <v>2142</v>
      </c>
      <c r="B41" s="1046" t="s">
        <v>1293</v>
      </c>
      <c r="C41" s="1082">
        <v>11084</v>
      </c>
      <c r="D41" s="1083">
        <v>0</v>
      </c>
      <c r="E41" s="1083">
        <v>0</v>
      </c>
      <c r="F41" s="1083">
        <v>0</v>
      </c>
    </row>
    <row r="42" spans="1:6" ht="15.75" thickBot="1">
      <c r="A42" s="1054">
        <v>21</v>
      </c>
      <c r="B42" s="1085" t="s">
        <v>1294</v>
      </c>
      <c r="C42" s="1086">
        <f>SUM(C31:C41)</f>
        <v>57525</v>
      </c>
      <c r="D42" s="1055">
        <f>SUM(D31:D41)</f>
        <v>69237</v>
      </c>
      <c r="E42" s="1055">
        <f>SUM(E31:E41)</f>
        <v>78300</v>
      </c>
      <c r="F42" s="1055">
        <f>SUM(F31:F41)</f>
        <v>78300</v>
      </c>
    </row>
    <row r="43" spans="1:6" ht="15.75" thickBot="1">
      <c r="A43" s="1059">
        <v>2211</v>
      </c>
      <c r="B43" s="1062" t="s">
        <v>1295</v>
      </c>
      <c r="C43" s="1082">
        <v>15</v>
      </c>
      <c r="D43" s="1083">
        <v>0</v>
      </c>
      <c r="E43" s="1083">
        <v>0</v>
      </c>
      <c r="F43" s="1083">
        <v>0</v>
      </c>
    </row>
    <row r="44" spans="1:6" ht="15.75" thickBot="1">
      <c r="A44" s="1059">
        <v>2212</v>
      </c>
      <c r="B44" s="1062" t="s">
        <v>1296</v>
      </c>
      <c r="C44" s="1082">
        <v>11036</v>
      </c>
      <c r="D44" s="1083">
        <f>8000+10</f>
        <v>8010</v>
      </c>
      <c r="E44" s="1083">
        <v>8000</v>
      </c>
      <c r="F44" s="1083">
        <v>8000</v>
      </c>
    </row>
    <row r="45" spans="1:6" ht="15.75" thickBot="1">
      <c r="A45" s="1059">
        <v>2222</v>
      </c>
      <c r="B45" s="1053" t="s">
        <v>1297</v>
      </c>
      <c r="C45" s="1082">
        <v>0</v>
      </c>
      <c r="D45" s="1083">
        <v>0</v>
      </c>
      <c r="E45" s="1083">
        <v>0</v>
      </c>
      <c r="F45" s="1083">
        <v>0</v>
      </c>
    </row>
    <row r="46" spans="1:6" ht="15.75" thickBot="1">
      <c r="A46" s="1059">
        <v>2229</v>
      </c>
      <c r="B46" s="1053" t="s">
        <v>1298</v>
      </c>
      <c r="C46" s="1082">
        <v>109</v>
      </c>
      <c r="D46" s="1083">
        <v>4906</v>
      </c>
      <c r="E46" s="1083">
        <v>0</v>
      </c>
      <c r="F46" s="1083">
        <v>0</v>
      </c>
    </row>
    <row r="47" spans="1:6" ht="15.75" thickBot="1">
      <c r="A47" s="1054">
        <v>22</v>
      </c>
      <c r="B47" s="1085" t="s">
        <v>1299</v>
      </c>
      <c r="C47" s="1086">
        <f>SUM(C43:C46)</f>
        <v>11160</v>
      </c>
      <c r="D47" s="1086">
        <f>SUM(D43:D46)</f>
        <v>12916</v>
      </c>
      <c r="E47" s="1086">
        <f>SUM(E43:E46)</f>
        <v>8000</v>
      </c>
      <c r="F47" s="1086">
        <f>SUM(F43:F46)</f>
        <v>8000</v>
      </c>
    </row>
    <row r="48" spans="1:6" ht="15.75" thickBot="1">
      <c r="A48" s="1059">
        <v>2321</v>
      </c>
      <c r="B48" s="1087" t="s">
        <v>1300</v>
      </c>
      <c r="C48" s="1082">
        <v>4</v>
      </c>
      <c r="D48" s="1083">
        <v>0</v>
      </c>
      <c r="E48" s="1083">
        <v>0</v>
      </c>
      <c r="F48" s="1083">
        <v>0</v>
      </c>
    </row>
    <row r="49" spans="1:7" ht="15.75" thickBot="1">
      <c r="A49" s="1059">
        <v>2322</v>
      </c>
      <c r="B49" s="1062" t="s">
        <v>1301</v>
      </c>
      <c r="C49" s="1082">
        <v>927</v>
      </c>
      <c r="D49" s="1083">
        <v>1000</v>
      </c>
      <c r="E49" s="1083">
        <v>1000</v>
      </c>
      <c r="F49" s="1083">
        <v>1000</v>
      </c>
    </row>
    <row r="50" spans="1:7" ht="15.75" thickBot="1">
      <c r="A50" s="1059">
        <v>2324</v>
      </c>
      <c r="B50" s="1062" t="s">
        <v>1302</v>
      </c>
      <c r="C50" s="1082">
        <v>9902</v>
      </c>
      <c r="D50" s="1083">
        <f>2065+200</f>
        <v>2265</v>
      </c>
      <c r="E50" s="1083">
        <v>2500</v>
      </c>
      <c r="F50" s="1083">
        <v>2500</v>
      </c>
    </row>
    <row r="51" spans="1:7" ht="15.75" thickBot="1">
      <c r="A51" s="1059">
        <v>2328</v>
      </c>
      <c r="B51" s="1062" t="s">
        <v>1303</v>
      </c>
      <c r="C51" s="1082">
        <v>79</v>
      </c>
      <c r="D51" s="1083">
        <v>0</v>
      </c>
      <c r="E51" s="1083">
        <v>0</v>
      </c>
      <c r="F51" s="1083">
        <v>0</v>
      </c>
    </row>
    <row r="52" spans="1:7" ht="15.75" thickBot="1">
      <c r="A52" s="1045">
        <v>2329</v>
      </c>
      <c r="B52" s="1053" t="s">
        <v>1304</v>
      </c>
      <c r="C52" s="1082">
        <v>172</v>
      </c>
      <c r="D52" s="1083">
        <v>30</v>
      </c>
      <c r="E52" s="1083">
        <v>0</v>
      </c>
      <c r="F52" s="1083">
        <v>0</v>
      </c>
    </row>
    <row r="53" spans="1:7" ht="15.75" thickBot="1">
      <c r="A53" s="1088">
        <v>2343</v>
      </c>
      <c r="B53" s="1089" t="s">
        <v>1305</v>
      </c>
      <c r="C53" s="1090">
        <v>2</v>
      </c>
      <c r="D53" s="1091">
        <v>20</v>
      </c>
      <c r="E53" s="1091">
        <v>20</v>
      </c>
      <c r="F53" s="1091">
        <v>20</v>
      </c>
    </row>
    <row r="54" spans="1:7" ht="16.5" thickTop="1" thickBot="1">
      <c r="A54" s="1092">
        <v>23</v>
      </c>
      <c r="B54" s="1093" t="s">
        <v>1306</v>
      </c>
      <c r="C54" s="1094">
        <f>SUM(C48:C53)</f>
        <v>11086</v>
      </c>
      <c r="D54" s="1094">
        <f>SUM(D48:D53)</f>
        <v>3315</v>
      </c>
      <c r="E54" s="1094">
        <f>SUM(E48:E53)</f>
        <v>3520</v>
      </c>
      <c r="F54" s="1094">
        <f>SUM(F48:F53)</f>
        <v>3520</v>
      </c>
    </row>
    <row r="55" spans="1:7" ht="16.5" thickTop="1" thickBot="1">
      <c r="A55" s="1040">
        <v>2412</v>
      </c>
      <c r="B55" s="1095" t="s">
        <v>1307</v>
      </c>
      <c r="C55" s="1096">
        <v>0</v>
      </c>
      <c r="D55" s="1096">
        <v>0</v>
      </c>
      <c r="E55" s="1096">
        <v>0</v>
      </c>
      <c r="F55" s="1097">
        <v>0</v>
      </c>
    </row>
    <row r="56" spans="1:7" ht="15.75" thickBot="1">
      <c r="A56" s="1045">
        <v>2420</v>
      </c>
      <c r="B56" s="1084" t="s">
        <v>1308</v>
      </c>
      <c r="C56" s="1082">
        <v>2010</v>
      </c>
      <c r="D56" s="1083">
        <f>17000</f>
        <v>17000</v>
      </c>
      <c r="E56" s="1083">
        <f>1725+250</f>
        <v>1975</v>
      </c>
      <c r="F56" s="1098">
        <f>1725+250</f>
        <v>1975</v>
      </c>
    </row>
    <row r="57" spans="1:7" ht="15.75" thickBot="1">
      <c r="A57" s="1059">
        <v>2460</v>
      </c>
      <c r="B57" s="1053" t="s">
        <v>1309</v>
      </c>
      <c r="C57" s="1082">
        <v>206</v>
      </c>
      <c r="D57" s="1083">
        <v>250</v>
      </c>
      <c r="E57" s="1083">
        <v>0</v>
      </c>
      <c r="F57" s="1083">
        <v>0</v>
      </c>
    </row>
    <row r="58" spans="1:7" ht="15.75" thickBot="1">
      <c r="A58" s="1059">
        <v>2481</v>
      </c>
      <c r="B58" s="1053" t="s">
        <v>1310</v>
      </c>
      <c r="C58" s="1082">
        <v>4</v>
      </c>
      <c r="D58" s="1083">
        <v>0</v>
      </c>
      <c r="E58" s="1083">
        <v>0</v>
      </c>
      <c r="F58" s="1083">
        <v>0</v>
      </c>
    </row>
    <row r="59" spans="1:7" ht="15.75" thickBot="1">
      <c r="A59" s="1099">
        <v>24</v>
      </c>
      <c r="B59" s="1100" t="s">
        <v>1311</v>
      </c>
      <c r="C59" s="1086">
        <f>SUM(C55:C58)</f>
        <v>2220</v>
      </c>
      <c r="D59" s="1086">
        <f>SUM(D55:D58)</f>
        <v>17250</v>
      </c>
      <c r="E59" s="1086">
        <f>SUM(E55:E58)</f>
        <v>1975</v>
      </c>
      <c r="F59" s="1086">
        <f>SUM(F55:F58)</f>
        <v>1975</v>
      </c>
    </row>
    <row r="60" spans="1:7" ht="16.5" thickTop="1" thickBot="1">
      <c r="A60" s="1101">
        <v>2</v>
      </c>
      <c r="B60" s="1071" t="s">
        <v>1312</v>
      </c>
      <c r="C60" s="1072">
        <f>SUM(C42,C47,C54,C59)</f>
        <v>81991</v>
      </c>
      <c r="D60" s="1072">
        <f>SUM(D42,D47,D54,D59)</f>
        <v>102718</v>
      </c>
      <c r="E60" s="1072">
        <f>SUM(E42,E47,E54,E59)</f>
        <v>91795</v>
      </c>
      <c r="F60" s="1072">
        <f>SUM(F42,F47,F54,F59)</f>
        <v>91795</v>
      </c>
    </row>
    <row r="61" spans="1:7" ht="6" customHeight="1" thickTop="1" thickBot="1">
      <c r="A61" s="1074"/>
      <c r="B61" s="1075"/>
      <c r="C61" s="1076"/>
      <c r="D61" s="1063"/>
      <c r="E61" s="1063"/>
      <c r="F61" s="1063"/>
      <c r="G61" s="1038"/>
    </row>
    <row r="62" spans="1:7" ht="16.5" thickTop="1" thickBot="1">
      <c r="A62" s="1573">
        <v>3111</v>
      </c>
      <c r="B62" s="1104" t="s">
        <v>1313</v>
      </c>
      <c r="C62" s="1079">
        <v>4413</v>
      </c>
      <c r="D62" s="1042">
        <v>0</v>
      </c>
      <c r="E62" s="1042">
        <f>20000+30000</f>
        <v>50000</v>
      </c>
      <c r="F62" s="1105">
        <f>20000+30000</f>
        <v>50000</v>
      </c>
    </row>
    <row r="63" spans="1:7" ht="15.75" thickBot="1">
      <c r="A63" s="1574">
        <v>3112</v>
      </c>
      <c r="B63" s="1558" t="s">
        <v>1441</v>
      </c>
      <c r="C63" s="1082">
        <v>100075</v>
      </c>
      <c r="D63" s="1047">
        <f>55000+3000+1500</f>
        <v>59500</v>
      </c>
      <c r="E63" s="1047">
        <v>16000</v>
      </c>
      <c r="F63" s="1107">
        <v>16000</v>
      </c>
    </row>
    <row r="64" spans="1:7" ht="15.75" thickBot="1">
      <c r="A64" s="1574">
        <v>3112</v>
      </c>
      <c r="B64" s="1106" t="s">
        <v>1314</v>
      </c>
      <c r="C64" s="1082">
        <v>0</v>
      </c>
      <c r="D64" s="1047">
        <v>0</v>
      </c>
      <c r="E64" s="1047">
        <f>70000+14000</f>
        <v>84000</v>
      </c>
      <c r="F64" s="1107">
        <f>70000+14000</f>
        <v>84000</v>
      </c>
    </row>
    <row r="65" spans="1:7" s="1108" customFormat="1" ht="13.5" thickBot="1">
      <c r="A65" s="1059">
        <v>3113</v>
      </c>
      <c r="B65" s="1053" t="s">
        <v>1315</v>
      </c>
      <c r="C65" s="1082">
        <v>44</v>
      </c>
      <c r="D65" s="1047">
        <v>0</v>
      </c>
      <c r="E65" s="1047">
        <v>0</v>
      </c>
      <c r="F65" s="1047">
        <v>0</v>
      </c>
    </row>
    <row r="66" spans="1:7" ht="16.5" thickTop="1" thickBot="1">
      <c r="A66" s="1101">
        <v>3</v>
      </c>
      <c r="B66" s="1071" t="s">
        <v>1316</v>
      </c>
      <c r="C66" s="1072">
        <f>SUM(C62:C65)</f>
        <v>104532</v>
      </c>
      <c r="D66" s="1072">
        <f>SUM(D62:D65)</f>
        <v>59500</v>
      </c>
      <c r="E66" s="1072">
        <f>SUM(E62:E65)</f>
        <v>150000</v>
      </c>
      <c r="F66" s="1072">
        <f>SUM(F62:F65)</f>
        <v>150000</v>
      </c>
    </row>
    <row r="67" spans="1:7" ht="6" customHeight="1" thickTop="1" thickBot="1">
      <c r="A67" s="1074"/>
      <c r="B67" s="1075"/>
      <c r="C67" s="1076"/>
      <c r="D67" s="1063"/>
      <c r="E67" s="1063"/>
      <c r="F67" s="1063"/>
    </row>
    <row r="68" spans="1:7" ht="16.5" thickTop="1" thickBot="1">
      <c r="A68" s="1103">
        <v>4112</v>
      </c>
      <c r="B68" s="1109" t="s">
        <v>1317</v>
      </c>
      <c r="C68" s="1079">
        <v>6999</v>
      </c>
      <c r="D68" s="1042">
        <v>0</v>
      </c>
      <c r="E68" s="1042">
        <v>0</v>
      </c>
      <c r="F68" s="1042">
        <v>0</v>
      </c>
    </row>
    <row r="69" spans="1:7" ht="15.75" thickBot="1">
      <c r="A69" s="1059">
        <v>4112</v>
      </c>
      <c r="B69" s="1053" t="s">
        <v>1318</v>
      </c>
      <c r="C69" s="1082">
        <v>15998</v>
      </c>
      <c r="D69" s="1047">
        <v>16000</v>
      </c>
      <c r="E69" s="1047">
        <v>16000</v>
      </c>
      <c r="F69" s="1047">
        <f>16000-150.59</f>
        <v>15849.41</v>
      </c>
      <c r="G69" s="1755" t="s">
        <v>1523</v>
      </c>
    </row>
    <row r="70" spans="1:7" ht="15.75" thickBot="1">
      <c r="A70" s="1059">
        <v>4112</v>
      </c>
      <c r="B70" s="1053" t="s">
        <v>1319</v>
      </c>
      <c r="C70" s="1082">
        <v>28260</v>
      </c>
      <c r="D70" s="1047">
        <v>28000</v>
      </c>
      <c r="E70" s="1047">
        <v>28000</v>
      </c>
      <c r="F70" s="1047">
        <f>28000+201.809</f>
        <v>28201.809000000001</v>
      </c>
      <c r="G70" s="1755" t="s">
        <v>1523</v>
      </c>
    </row>
    <row r="71" spans="1:7" ht="15.75" thickBot="1">
      <c r="A71" s="1930" t="s">
        <v>1320</v>
      </c>
      <c r="B71" s="1931"/>
      <c r="C71" s="1110">
        <f>SUM(C68:C70)</f>
        <v>51257</v>
      </c>
      <c r="D71" s="1110">
        <f>SUM(D68:D70)</f>
        <v>44000</v>
      </c>
      <c r="E71" s="1110">
        <f>SUM(E68:E70)</f>
        <v>44000</v>
      </c>
      <c r="F71" s="1110">
        <f>SUM(F68:F70)</f>
        <v>44051.218999999997</v>
      </c>
    </row>
    <row r="72" spans="1:7" ht="15.75" thickBot="1">
      <c r="A72" s="1059">
        <v>4111</v>
      </c>
      <c r="B72" s="1053" t="s">
        <v>1321</v>
      </c>
      <c r="C72" s="1082">
        <v>9360</v>
      </c>
      <c r="D72" s="1083">
        <v>0</v>
      </c>
      <c r="E72" s="1083">
        <v>0</v>
      </c>
      <c r="F72" s="1083">
        <v>0</v>
      </c>
    </row>
    <row r="73" spans="1:7" ht="15.75" thickBot="1">
      <c r="A73" s="1059">
        <v>4113</v>
      </c>
      <c r="B73" s="1053" t="s">
        <v>1322</v>
      </c>
      <c r="C73" s="1082">
        <v>855</v>
      </c>
      <c r="D73" s="1083">
        <v>0</v>
      </c>
      <c r="E73" s="1083">
        <v>0</v>
      </c>
      <c r="F73" s="1083">
        <v>0</v>
      </c>
    </row>
    <row r="74" spans="1:7" ht="15.75" thickBot="1">
      <c r="A74" s="1059">
        <v>4116</v>
      </c>
      <c r="B74" s="1053" t="s">
        <v>1323</v>
      </c>
      <c r="C74" s="1082">
        <v>0</v>
      </c>
      <c r="D74" s="1083">
        <f>140000-140000</f>
        <v>0</v>
      </c>
      <c r="E74" s="1083">
        <v>0</v>
      </c>
      <c r="F74" s="1083">
        <v>0</v>
      </c>
    </row>
    <row r="75" spans="1:7" ht="15.75" thickBot="1">
      <c r="A75" s="1059">
        <v>4116</v>
      </c>
      <c r="B75" s="1053" t="s">
        <v>1324</v>
      </c>
      <c r="C75" s="1082">
        <v>0</v>
      </c>
      <c r="D75" s="1083">
        <f>50000-50000</f>
        <v>0</v>
      </c>
      <c r="E75" s="1083">
        <v>0</v>
      </c>
      <c r="F75" s="1083">
        <v>0</v>
      </c>
    </row>
    <row r="76" spans="1:7" ht="15.75" thickBot="1">
      <c r="A76" s="1059">
        <v>4116</v>
      </c>
      <c r="B76" s="1053" t="s">
        <v>1325</v>
      </c>
      <c r="C76" s="1082">
        <v>5655</v>
      </c>
      <c r="D76" s="1083">
        <v>0</v>
      </c>
      <c r="E76" s="1083">
        <v>0</v>
      </c>
      <c r="F76" s="1083">
        <v>0</v>
      </c>
    </row>
    <row r="77" spans="1:7" ht="15.75" thickBot="1">
      <c r="A77" s="1059">
        <v>4119</v>
      </c>
      <c r="B77" s="1053" t="s">
        <v>1326</v>
      </c>
      <c r="C77" s="1082">
        <v>15</v>
      </c>
      <c r="D77" s="1083">
        <v>0</v>
      </c>
      <c r="E77" s="1083">
        <v>0</v>
      </c>
      <c r="F77" s="1083">
        <v>0</v>
      </c>
    </row>
    <row r="78" spans="1:7" ht="15.75" thickBot="1">
      <c r="A78" s="1932" t="s">
        <v>1327</v>
      </c>
      <c r="B78" s="1933"/>
      <c r="C78" s="1111">
        <f>SUM(C72:C77)</f>
        <v>15885</v>
      </c>
      <c r="D78" s="1111">
        <f>SUM(D72:D77)</f>
        <v>0</v>
      </c>
      <c r="E78" s="1111">
        <f>SUM(E72:E77)</f>
        <v>0</v>
      </c>
      <c r="F78" s="1111">
        <f>SUM(F72:F77)</f>
        <v>0</v>
      </c>
    </row>
    <row r="79" spans="1:7" ht="15.75" thickBot="1">
      <c r="A79" s="1059">
        <v>4121</v>
      </c>
      <c r="B79" s="1053" t="s">
        <v>1328</v>
      </c>
      <c r="C79" s="1082">
        <v>4370</v>
      </c>
      <c r="D79" s="1083">
        <v>0</v>
      </c>
      <c r="E79" s="1083">
        <v>0</v>
      </c>
      <c r="F79" s="1083">
        <v>0</v>
      </c>
    </row>
    <row r="80" spans="1:7" ht="15.75" thickBot="1">
      <c r="A80" s="1059">
        <v>4122</v>
      </c>
      <c r="B80" s="1081" t="s">
        <v>1329</v>
      </c>
      <c r="C80" s="1082">
        <v>9770</v>
      </c>
      <c r="D80" s="1083">
        <v>0</v>
      </c>
      <c r="E80" s="1083">
        <v>0</v>
      </c>
      <c r="F80" s="1083">
        <v>0</v>
      </c>
    </row>
    <row r="81" spans="1:7" ht="15.75" thickBot="1">
      <c r="A81" s="1059">
        <v>4131</v>
      </c>
      <c r="B81" s="1053" t="s">
        <v>1330</v>
      </c>
      <c r="C81" s="1082">
        <v>58959</v>
      </c>
      <c r="D81" s="1083">
        <v>20000</v>
      </c>
      <c r="E81" s="1083">
        <v>35000</v>
      </c>
      <c r="F81" s="1083">
        <v>35000</v>
      </c>
    </row>
    <row r="82" spans="1:7" ht="15.75" thickBot="1">
      <c r="A82" s="1932" t="s">
        <v>1331</v>
      </c>
      <c r="B82" s="1933"/>
      <c r="C82" s="1111">
        <f>SUM(C79:C81)</f>
        <v>73099</v>
      </c>
      <c r="D82" s="1111">
        <f>SUM(D79:D81)</f>
        <v>20000</v>
      </c>
      <c r="E82" s="1111">
        <f>SUM(E79:E81)</f>
        <v>35000</v>
      </c>
      <c r="F82" s="1111">
        <f>SUM(F79:F81)</f>
        <v>35000</v>
      </c>
    </row>
    <row r="83" spans="1:7" ht="15.75" thickBot="1">
      <c r="A83" s="1059">
        <v>4211</v>
      </c>
      <c r="B83" s="1112" t="s">
        <v>1332</v>
      </c>
      <c r="C83" s="1082">
        <v>0</v>
      </c>
      <c r="D83" s="1083">
        <v>0</v>
      </c>
      <c r="E83" s="1083">
        <v>0</v>
      </c>
      <c r="F83" s="1083">
        <v>0</v>
      </c>
    </row>
    <row r="84" spans="1:7" ht="15.75" thickBot="1">
      <c r="A84" s="1059">
        <v>4213</v>
      </c>
      <c r="B84" s="1053" t="s">
        <v>1333</v>
      </c>
      <c r="C84" s="1082">
        <v>726</v>
      </c>
      <c r="D84" s="1083">
        <v>0</v>
      </c>
      <c r="E84" s="1083">
        <v>0</v>
      </c>
      <c r="F84" s="1083">
        <v>0</v>
      </c>
    </row>
    <row r="85" spans="1:7" ht="15.75" thickBot="1">
      <c r="A85" s="1059">
        <v>4216</v>
      </c>
      <c r="B85" s="1084" t="s">
        <v>1334</v>
      </c>
      <c r="C85" s="1082">
        <v>21133</v>
      </c>
      <c r="D85" s="1083">
        <v>0</v>
      </c>
      <c r="E85" s="1083">
        <v>0</v>
      </c>
      <c r="F85" s="1083">
        <v>0</v>
      </c>
    </row>
    <row r="86" spans="1:7" ht="15.75" thickBot="1">
      <c r="A86" s="1059">
        <v>4222</v>
      </c>
      <c r="B86" s="1081" t="s">
        <v>1335</v>
      </c>
      <c r="C86" s="1082">
        <v>89</v>
      </c>
      <c r="D86" s="1083">
        <v>0</v>
      </c>
      <c r="E86" s="1083">
        <v>0</v>
      </c>
      <c r="F86" s="1083">
        <v>0</v>
      </c>
    </row>
    <row r="87" spans="1:7" ht="15.75" thickBot="1">
      <c r="A87" s="1059">
        <v>4223</v>
      </c>
      <c r="B87" s="1081" t="s">
        <v>1336</v>
      </c>
      <c r="C87" s="1082">
        <v>0</v>
      </c>
      <c r="D87" s="1083">
        <v>0</v>
      </c>
      <c r="E87" s="1083">
        <v>0</v>
      </c>
      <c r="F87" s="1083">
        <v>0</v>
      </c>
    </row>
    <row r="88" spans="1:7" ht="15.75" thickBot="1">
      <c r="A88" s="1932" t="s">
        <v>1337</v>
      </c>
      <c r="B88" s="1933"/>
      <c r="C88" s="1111">
        <f>SUM(C83:C87)</f>
        <v>21948</v>
      </c>
      <c r="D88" s="1111">
        <f>SUM(D83:D87)</f>
        <v>0</v>
      </c>
      <c r="E88" s="1111">
        <f>SUM(E83:E87)</f>
        <v>0</v>
      </c>
      <c r="F88" s="1111">
        <f>SUM(F83:F87)</f>
        <v>0</v>
      </c>
    </row>
    <row r="89" spans="1:7" ht="16.5" thickTop="1" thickBot="1">
      <c r="A89" s="1101">
        <v>4</v>
      </c>
      <c r="B89" s="1071" t="s">
        <v>1338</v>
      </c>
      <c r="C89" s="1072">
        <f>SUM(C71,C78,C82,C88)</f>
        <v>162189</v>
      </c>
      <c r="D89" s="1072">
        <f>SUM(D71,D78,D82,D88)</f>
        <v>64000</v>
      </c>
      <c r="E89" s="1072">
        <f>SUM(E71,E78,E82,E88)</f>
        <v>79000</v>
      </c>
      <c r="F89" s="1072">
        <f>SUM(F71,F78,F82,F88)</f>
        <v>79051.218999999997</v>
      </c>
    </row>
    <row r="90" spans="1:7" ht="6" customHeight="1" thickTop="1" thickBot="1">
      <c r="A90" s="1074"/>
      <c r="B90" s="1075"/>
      <c r="C90" s="1044"/>
      <c r="D90" s="1063"/>
      <c r="E90" s="1063"/>
      <c r="F90" s="1063"/>
    </row>
    <row r="91" spans="1:7" ht="16.5" thickTop="1" thickBot="1">
      <c r="A91" s="1934" t="s">
        <v>1339</v>
      </c>
      <c r="B91" s="1935"/>
      <c r="C91" s="1072">
        <f>SUM(C29,C60,C66,C89)</f>
        <v>1022382</v>
      </c>
      <c r="D91" s="1072">
        <f>SUM(D29,D60,D66,D89)</f>
        <v>964343.8</v>
      </c>
      <c r="E91" s="1072">
        <f>SUM(E29,E60,E66,E89)</f>
        <v>1046315</v>
      </c>
      <c r="F91" s="1113">
        <f>SUM(F29,F60,F66,F89)</f>
        <v>1046366.219</v>
      </c>
      <c r="G91" s="1102"/>
    </row>
    <row r="92" spans="1:7" ht="16.5" thickTop="1" thickBot="1">
      <c r="A92" s="1114"/>
      <c r="B92" s="1115"/>
      <c r="C92" s="1056"/>
      <c r="D92" s="1044"/>
      <c r="E92" s="1044"/>
      <c r="F92" s="1044"/>
    </row>
    <row r="93" spans="1:7" ht="16.5" thickTop="1" thickBot="1">
      <c r="A93" s="1101">
        <v>8</v>
      </c>
      <c r="B93" s="1116" t="s">
        <v>1340</v>
      </c>
      <c r="C93" s="1072">
        <f>SUM(C103-C91)</f>
        <v>135098</v>
      </c>
      <c r="D93" s="1072">
        <f>SUM(D103-D91)</f>
        <v>385928.19999999995</v>
      </c>
      <c r="E93" s="1072">
        <f>SUM(E103-E91)</f>
        <v>103839.91200000001</v>
      </c>
      <c r="F93" s="1073">
        <f>SUM(F103-F91)</f>
        <v>295719.77700000023</v>
      </c>
    </row>
    <row r="94" spans="1:7" ht="16.5" thickTop="1" thickBot="1">
      <c r="A94" s="1103">
        <v>8115</v>
      </c>
      <c r="B94" s="1109" t="s">
        <v>1341</v>
      </c>
      <c r="C94" s="1080">
        <f t="shared" ref="C94:D94" si="0">C93-C98-C100-C101-C99-C96-C97</f>
        <v>121579</v>
      </c>
      <c r="D94" s="1080">
        <f t="shared" si="0"/>
        <v>305928.19999999995</v>
      </c>
      <c r="E94" s="1080">
        <f>E93-E98-E100-E101-E99-E96-E97</f>
        <v>143839.91200000001</v>
      </c>
      <c r="F94" s="1042">
        <f>F93-F98-F100-F101-F99-F96-F97</f>
        <v>335719.77700000023</v>
      </c>
    </row>
    <row r="95" spans="1:7" ht="15.75" thickBot="1">
      <c r="A95" s="1059">
        <v>8113</v>
      </c>
      <c r="B95" s="1053" t="s">
        <v>1342</v>
      </c>
      <c r="C95" s="1083">
        <v>167000</v>
      </c>
      <c r="D95" s="1047">
        <v>0</v>
      </c>
      <c r="E95" s="1047">
        <v>0</v>
      </c>
      <c r="F95" s="1047">
        <v>0</v>
      </c>
    </row>
    <row r="96" spans="1:7" ht="15.75" thickBot="1">
      <c r="A96" s="1059">
        <v>8117</v>
      </c>
      <c r="B96" s="1053" t="s">
        <v>1343</v>
      </c>
      <c r="C96" s="1083">
        <v>0</v>
      </c>
      <c r="D96" s="1060">
        <v>0</v>
      </c>
      <c r="E96" s="1060">
        <v>0</v>
      </c>
      <c r="F96" s="1060">
        <v>0</v>
      </c>
    </row>
    <row r="97" spans="1:6" ht="15.75" thickBot="1">
      <c r="A97" s="1059">
        <v>8118</v>
      </c>
      <c r="B97" s="1053" t="s">
        <v>1344</v>
      </c>
      <c r="C97" s="1083">
        <v>0</v>
      </c>
      <c r="D97" s="1060">
        <v>0</v>
      </c>
      <c r="E97" s="1060">
        <v>0</v>
      </c>
      <c r="F97" s="1060">
        <v>0</v>
      </c>
    </row>
    <row r="98" spans="1:6" ht="15.75" thickBot="1">
      <c r="A98" s="1059">
        <v>8123</v>
      </c>
      <c r="B98" s="1053" t="s">
        <v>1345</v>
      </c>
      <c r="C98" s="1083">
        <v>0</v>
      </c>
      <c r="D98" s="1060">
        <v>167000</v>
      </c>
      <c r="E98" s="1060">
        <v>0</v>
      </c>
      <c r="F98" s="1060">
        <v>0</v>
      </c>
    </row>
    <row r="99" spans="1:6" ht="15.75" thickBot="1">
      <c r="A99" s="1059">
        <v>8124</v>
      </c>
      <c r="B99" s="1053" t="s">
        <v>1346</v>
      </c>
      <c r="C99" s="1083">
        <v>256664</v>
      </c>
      <c r="D99" s="1060">
        <v>120000</v>
      </c>
      <c r="E99" s="1060">
        <v>0</v>
      </c>
      <c r="F99" s="1060">
        <v>0</v>
      </c>
    </row>
    <row r="100" spans="1:6" ht="15.75" thickBot="1">
      <c r="A100" s="1059">
        <v>8128</v>
      </c>
      <c r="B100" s="1053" t="s">
        <v>1347</v>
      </c>
      <c r="C100" s="1083">
        <v>-203145</v>
      </c>
      <c r="D100" s="1060">
        <v>0</v>
      </c>
      <c r="E100" s="1060">
        <v>0</v>
      </c>
      <c r="F100" s="1060">
        <v>0</v>
      </c>
    </row>
    <row r="101" spans="1:6" ht="15.75" thickBot="1">
      <c r="A101" s="1117">
        <v>8124</v>
      </c>
      <c r="B101" s="1118" t="s">
        <v>1348</v>
      </c>
      <c r="C101" s="1119">
        <v>-40000</v>
      </c>
      <c r="D101" s="1120">
        <v>-207000</v>
      </c>
      <c r="E101" s="1120">
        <v>-40000</v>
      </c>
      <c r="F101" s="1120">
        <v>-40000</v>
      </c>
    </row>
    <row r="102" spans="1:6" ht="7.5" customHeight="1" thickTop="1" thickBot="1"/>
    <row r="103" spans="1:6" ht="16.5" thickTop="1" thickBot="1">
      <c r="A103" s="1919" t="s">
        <v>1349</v>
      </c>
      <c r="B103" s="1920"/>
      <c r="C103" s="1122">
        <v>1157480</v>
      </c>
      <c r="D103" s="1122">
        <v>1350272</v>
      </c>
      <c r="E103" s="1122">
        <f>Rekapit.odbory!E29</f>
        <v>1150154.912</v>
      </c>
      <c r="F103" s="1122">
        <f>Rekapit.odbory!F29</f>
        <v>1342085.9960000003</v>
      </c>
    </row>
    <row r="104" spans="1:6" ht="15.75" thickTop="1"/>
    <row r="107" spans="1:6">
      <c r="C107" s="1102"/>
    </row>
  </sheetData>
  <mergeCells count="12">
    <mergeCell ref="F1:F3"/>
    <mergeCell ref="E1:E3"/>
    <mergeCell ref="A103:B103"/>
    <mergeCell ref="A1:A3"/>
    <mergeCell ref="B1:B3"/>
    <mergeCell ref="C1:C3"/>
    <mergeCell ref="D1:D3"/>
    <mergeCell ref="A71:B71"/>
    <mergeCell ref="A78:B78"/>
    <mergeCell ref="A82:B82"/>
    <mergeCell ref="A88:B88"/>
    <mergeCell ref="A91:B91"/>
  </mergeCells>
  <printOptions horizontalCentered="1"/>
  <pageMargins left="0.9055118110236221" right="0.9055118110236221" top="0.78740157480314965" bottom="0.78740157480314965" header="0.31496062992125984" footer="0.31496062992125984"/>
  <pageSetup paperSize="9" scale="86" firstPageNumber="2" orientation="portrait" useFirstPageNumber="1" r:id="rId1"/>
  <headerFooter>
    <oddHeader>&amp;C&amp;"Times New Roman,Tučné"&amp;14I. Závazné ukazatele</oddHeader>
    <oddFooter>&amp;C&amp;P</oddFooter>
  </headerFooter>
  <rowBreaks count="2" manualBreakCount="2">
    <brk id="47" max="5" man="1"/>
    <brk id="91" max="5" man="1"/>
  </rowBreaks>
  <ignoredErrors>
    <ignoredError sqref="C13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9:J82"/>
  <sheetViews>
    <sheetView topLeftCell="A7" zoomScaleNormal="100" workbookViewId="0">
      <selection activeCell="C84" sqref="C84:D84"/>
    </sheetView>
  </sheetViews>
  <sheetFormatPr defaultRowHeight="15"/>
  <cols>
    <col min="1" max="1" width="0.85546875" style="162" customWidth="1"/>
    <col min="2" max="2" width="47.7109375" style="162" customWidth="1"/>
    <col min="3" max="3" width="16.85546875" style="162" customWidth="1"/>
    <col min="4" max="5" width="9.140625" style="162"/>
    <col min="6" max="6" width="15.5703125" style="162" customWidth="1"/>
    <col min="7" max="7" width="5.85546875" style="162" customWidth="1"/>
    <col min="8" max="16384" width="9.140625" style="162"/>
  </cols>
  <sheetData>
    <row r="19" spans="10:10">
      <c r="J19"/>
    </row>
    <row r="66" spans="1:6" ht="11.25" customHeight="1"/>
    <row r="67" spans="1:6" ht="15.75" thickBot="1"/>
    <row r="68" spans="1:6" ht="15.75" thickBot="1">
      <c r="A68" s="1123">
        <v>111</v>
      </c>
      <c r="B68" s="1124" t="s">
        <v>1350</v>
      </c>
      <c r="C68" s="1125">
        <f>'Příjmy 2014 '!E7</f>
        <v>159000</v>
      </c>
      <c r="D68" s="1504">
        <f>C68/$C$76</f>
        <v>0.21915315911346345</v>
      </c>
      <c r="E68" s="1052"/>
      <c r="F68" s="1052"/>
    </row>
    <row r="69" spans="1:6" ht="15.75" thickBot="1">
      <c r="A69" s="1126">
        <v>112</v>
      </c>
      <c r="B69" s="1127" t="s">
        <v>1351</v>
      </c>
      <c r="C69" s="1125">
        <f>'Příjmy 2014 '!E11</f>
        <v>164000</v>
      </c>
      <c r="D69" s="1504">
        <f t="shared" ref="D69:D75" si="0">C69/$C$76</f>
        <v>0.22604476789061639</v>
      </c>
      <c r="E69" s="1052"/>
      <c r="F69" s="1052"/>
    </row>
    <row r="70" spans="1:6" ht="15.75" thickBot="1">
      <c r="A70" s="1126">
        <v>1211</v>
      </c>
      <c r="B70" s="1127" t="s">
        <v>1265</v>
      </c>
      <c r="C70" s="1128">
        <f>'Příjmy 2014 '!E12</f>
        <v>243000</v>
      </c>
      <c r="D70" s="1504">
        <f t="shared" si="0"/>
        <v>0.33493218656963281</v>
      </c>
      <c r="E70" s="1052"/>
      <c r="F70" s="1056"/>
    </row>
    <row r="71" spans="1:6" ht="15.75" thickBot="1">
      <c r="A71" s="1129">
        <v>133</v>
      </c>
      <c r="B71" s="1124" t="s">
        <v>1352</v>
      </c>
      <c r="C71" s="1130">
        <f>'Příjmy 2014 '!E13</f>
        <v>20</v>
      </c>
      <c r="D71" s="1504">
        <f t="shared" si="0"/>
        <v>2.7566435108611755E-5</v>
      </c>
      <c r="E71" s="1130"/>
      <c r="F71" s="1056"/>
    </row>
    <row r="72" spans="1:6" ht="15.75" thickBot="1">
      <c r="A72" s="1131">
        <v>134</v>
      </c>
      <c r="B72" s="1124" t="s">
        <v>1353</v>
      </c>
      <c r="C72" s="1056">
        <f>'Příjmy 2014 '!E20</f>
        <v>44000</v>
      </c>
      <c r="D72" s="1504">
        <f t="shared" si="0"/>
        <v>6.0646157238945862E-2</v>
      </c>
      <c r="E72" s="1052"/>
      <c r="F72" s="1056"/>
    </row>
    <row r="73" spans="1:6" ht="15.75" thickBot="1">
      <c r="A73" s="1129">
        <v>135</v>
      </c>
      <c r="B73" s="1132" t="s">
        <v>1354</v>
      </c>
      <c r="C73" s="1056">
        <f>'Příjmy 2014 '!E26</f>
        <v>33500</v>
      </c>
      <c r="D73" s="1504">
        <f t="shared" si="0"/>
        <v>4.6173778806924685E-2</v>
      </c>
      <c r="E73" s="1052"/>
      <c r="F73" s="1056"/>
    </row>
    <row r="74" spans="1:6" ht="15.75" thickBot="1">
      <c r="A74" s="1129">
        <v>1361</v>
      </c>
      <c r="B74" s="1124" t="s">
        <v>1280</v>
      </c>
      <c r="C74" s="1130">
        <f>'Příjmy 2014 '!E27</f>
        <v>10000</v>
      </c>
      <c r="D74" s="1504">
        <f t="shared" si="0"/>
        <v>1.3783217554305878E-2</v>
      </c>
      <c r="E74" s="1052"/>
      <c r="F74" s="1056"/>
    </row>
    <row r="75" spans="1:6" ht="15.75" thickBot="1">
      <c r="A75" s="1129">
        <v>1511</v>
      </c>
      <c r="B75" s="1124" t="s">
        <v>1281</v>
      </c>
      <c r="C75" s="1130">
        <f>'Příjmy 2014 '!E28</f>
        <v>72000</v>
      </c>
      <c r="D75" s="1504">
        <f t="shared" si="0"/>
        <v>9.9239166391002318E-2</v>
      </c>
      <c r="E75" s="1052"/>
      <c r="F75" s="1056"/>
    </row>
    <row r="76" spans="1:6" ht="15.75" thickBot="1">
      <c r="B76" s="1133"/>
      <c r="C76" s="1503">
        <f>SUM(C68:C75)</f>
        <v>725520</v>
      </c>
      <c r="D76" s="1134"/>
      <c r="E76" s="1134"/>
      <c r="F76" s="1135"/>
    </row>
    <row r="77" spans="1:6" ht="15.75" thickBot="1">
      <c r="A77" s="1136">
        <v>1</v>
      </c>
      <c r="B77" s="1137" t="s">
        <v>1282</v>
      </c>
      <c r="C77" s="1056">
        <f>'Příjmy 2014 '!E29</f>
        <v>725520</v>
      </c>
      <c r="D77" s="1504">
        <f>C77/$C$81</f>
        <v>0.69340494975222566</v>
      </c>
      <c r="E77" s="1052"/>
      <c r="F77" s="1052"/>
    </row>
    <row r="78" spans="1:6" ht="16.5" thickTop="1" thickBot="1">
      <c r="A78" s="1136">
        <v>2</v>
      </c>
      <c r="B78" s="1138" t="s">
        <v>1312</v>
      </c>
      <c r="C78" s="1056">
        <f>'Příjmy 2014 '!E60</f>
        <v>91795</v>
      </c>
      <c r="D78" s="1504">
        <f t="shared" ref="D78:D80" si="1">C78/$C$81</f>
        <v>8.7731706034989462E-2</v>
      </c>
      <c r="E78" s="1052"/>
      <c r="F78" s="1052"/>
    </row>
    <row r="79" spans="1:6" ht="16.5" thickTop="1" thickBot="1">
      <c r="A79" s="1136">
        <v>3</v>
      </c>
      <c r="B79" s="1138" t="s">
        <v>1316</v>
      </c>
      <c r="C79" s="1056">
        <f>'Příjmy 2014 '!E66</f>
        <v>150000</v>
      </c>
      <c r="D79" s="1504">
        <f t="shared" si="1"/>
        <v>0.14336026913501193</v>
      </c>
      <c r="E79" s="1052"/>
      <c r="F79" s="1052"/>
    </row>
    <row r="80" spans="1:6" ht="16.5" thickTop="1" thickBot="1">
      <c r="A80" s="1136">
        <v>4</v>
      </c>
      <c r="B80" s="1138" t="s">
        <v>1338</v>
      </c>
      <c r="C80" s="1056">
        <f>'Příjmy 2014 '!E89</f>
        <v>79000</v>
      </c>
      <c r="D80" s="1504">
        <f t="shared" si="1"/>
        <v>7.5503075077772944E-2</v>
      </c>
      <c r="E80" s="1052"/>
      <c r="F80" s="1052"/>
    </row>
    <row r="81" spans="3:6" ht="15.75" thickTop="1">
      <c r="C81" s="1324">
        <f>C77+C78+C79+C80</f>
        <v>1046315</v>
      </c>
    </row>
    <row r="82" spans="3:6">
      <c r="F82" s="169">
        <f>SUM(F77:F81)</f>
        <v>0</v>
      </c>
    </row>
  </sheetData>
  <printOptions horizontalCentered="1" verticalCentered="1"/>
  <pageMargins left="0.9055118110236221" right="0.70866141732283472" top="0.70866141732283472" bottom="0.9055118110236221" header="0.31496062992125984" footer="0.11811023622047245"/>
  <pageSetup paperSize="9" scale="79" firstPageNumber="5" orientation="portrait" useFirstPageNumber="1" r:id="rId1"/>
  <headerFooter>
    <oddHeader>&amp;C&amp;"+,Tučné"I. Závazné ukazatele</oddHeader>
    <oddFooter>&amp;C&amp;P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3:C40"/>
  <sheetViews>
    <sheetView topLeftCell="A13" workbookViewId="0">
      <selection activeCell="G39" sqref="G39"/>
    </sheetView>
  </sheetViews>
  <sheetFormatPr defaultRowHeight="15"/>
  <cols>
    <col min="1" max="1" width="33.7109375" customWidth="1"/>
    <col min="2" max="2" width="40.42578125" bestFit="1" customWidth="1"/>
    <col min="3" max="3" width="39.85546875" bestFit="1" customWidth="1"/>
  </cols>
  <sheetData>
    <row r="3" spans="1:3">
      <c r="B3" t="s">
        <v>1519</v>
      </c>
      <c r="C3" t="s">
        <v>1522</v>
      </c>
    </row>
    <row r="4" spans="1:3">
      <c r="A4" s="1752" t="s">
        <v>140</v>
      </c>
      <c r="B4" s="1751">
        <v>44576</v>
      </c>
      <c r="C4" s="1751">
        <v>44576</v>
      </c>
    </row>
    <row r="5" spans="1:3">
      <c r="A5" s="1753" t="s">
        <v>126</v>
      </c>
      <c r="B5" s="1751">
        <v>43826</v>
      </c>
      <c r="C5" s="1751">
        <v>43826</v>
      </c>
    </row>
    <row r="6" spans="1:3">
      <c r="A6" s="1753" t="s">
        <v>136</v>
      </c>
      <c r="B6" s="1751">
        <v>750</v>
      </c>
      <c r="C6" s="1751">
        <v>750</v>
      </c>
    </row>
    <row r="7" spans="1:3">
      <c r="A7" s="1752" t="s">
        <v>228</v>
      </c>
      <c r="B7" s="1751">
        <v>195781</v>
      </c>
      <c r="C7" s="1751">
        <v>301811.64199999999</v>
      </c>
    </row>
    <row r="8" spans="1:3">
      <c r="A8" s="1753" t="s">
        <v>126</v>
      </c>
      <c r="B8" s="1751">
        <v>92059</v>
      </c>
      <c r="C8" s="1751">
        <v>133723</v>
      </c>
    </row>
    <row r="9" spans="1:3">
      <c r="A9" s="1753" t="s">
        <v>136</v>
      </c>
      <c r="B9" s="1751">
        <v>103722</v>
      </c>
      <c r="C9" s="1751">
        <v>168088.64200000002</v>
      </c>
    </row>
    <row r="10" spans="1:3">
      <c r="A10" s="1752" t="s">
        <v>465</v>
      </c>
      <c r="B10" s="1751">
        <v>225900.75</v>
      </c>
      <c r="C10" s="1751">
        <v>264802.75</v>
      </c>
    </row>
    <row r="11" spans="1:3">
      <c r="A11" s="1753" t="s">
        <v>126</v>
      </c>
      <c r="B11" s="1751">
        <v>132572</v>
      </c>
      <c r="C11" s="1751">
        <v>132875</v>
      </c>
    </row>
    <row r="12" spans="1:3">
      <c r="A12" s="1753" t="s">
        <v>136</v>
      </c>
      <c r="B12" s="1751">
        <v>93328.75</v>
      </c>
      <c r="C12" s="1751">
        <v>131927.75</v>
      </c>
    </row>
    <row r="13" spans="1:3">
      <c r="A13" s="1752" t="s">
        <v>773</v>
      </c>
      <c r="B13" s="1751">
        <v>23880</v>
      </c>
      <c r="C13" s="1751">
        <v>23880</v>
      </c>
    </row>
    <row r="14" spans="1:3">
      <c r="A14" s="1753" t="s">
        <v>126</v>
      </c>
      <c r="B14" s="1751">
        <v>15380</v>
      </c>
      <c r="C14" s="1751">
        <v>15380</v>
      </c>
    </row>
    <row r="15" spans="1:3">
      <c r="A15" s="1753" t="s">
        <v>136</v>
      </c>
      <c r="B15" s="1751">
        <v>8500</v>
      </c>
      <c r="C15" s="1751">
        <v>8500</v>
      </c>
    </row>
    <row r="16" spans="1:3">
      <c r="A16" s="1752" t="s">
        <v>1129</v>
      </c>
      <c r="B16" s="1751">
        <v>61429</v>
      </c>
      <c r="C16" s="1751">
        <v>63493.5</v>
      </c>
    </row>
    <row r="17" spans="1:3">
      <c r="A17" s="1753" t="s">
        <v>126</v>
      </c>
      <c r="B17" s="1751">
        <v>56669</v>
      </c>
      <c r="C17" s="1751">
        <v>58733.5</v>
      </c>
    </row>
    <row r="18" spans="1:3">
      <c r="A18" s="1753" t="s">
        <v>136</v>
      </c>
      <c r="B18" s="1751">
        <v>4760</v>
      </c>
      <c r="C18" s="1751">
        <v>4760</v>
      </c>
    </row>
    <row r="19" spans="1:3">
      <c r="A19" s="1752" t="s">
        <v>164</v>
      </c>
      <c r="B19" s="1751">
        <v>92099.510000000009</v>
      </c>
      <c r="C19" s="1751">
        <v>110770.51000000001</v>
      </c>
    </row>
    <row r="20" spans="1:3">
      <c r="A20" s="1753" t="s">
        <v>126</v>
      </c>
      <c r="B20" s="1751">
        <v>70526</v>
      </c>
      <c r="C20" s="1751">
        <v>70526</v>
      </c>
    </row>
    <row r="21" spans="1:3">
      <c r="A21" s="1753" t="s">
        <v>136</v>
      </c>
      <c r="B21" s="1751">
        <v>21573.510000000002</v>
      </c>
      <c r="C21" s="1751">
        <v>40244.51</v>
      </c>
    </row>
    <row r="22" spans="1:3">
      <c r="A22" s="1752" t="s">
        <v>542</v>
      </c>
      <c r="B22" s="1751">
        <v>17064</v>
      </c>
      <c r="C22" s="1751">
        <v>17733.66</v>
      </c>
    </row>
    <row r="23" spans="1:3">
      <c r="A23" s="1753" t="s">
        <v>126</v>
      </c>
      <c r="B23" s="1751">
        <v>17064</v>
      </c>
      <c r="C23" s="1751">
        <v>17733.66</v>
      </c>
    </row>
    <row r="24" spans="1:3">
      <c r="A24" s="1752" t="s">
        <v>1130</v>
      </c>
      <c r="B24" s="1751">
        <v>71047</v>
      </c>
      <c r="C24" s="1751">
        <v>76239</v>
      </c>
    </row>
    <row r="25" spans="1:3">
      <c r="A25" s="1753" t="s">
        <v>126</v>
      </c>
      <c r="B25" s="1751">
        <v>55747</v>
      </c>
      <c r="C25" s="1751">
        <v>60340</v>
      </c>
    </row>
    <row r="26" spans="1:3">
      <c r="A26" s="1753" t="s">
        <v>136</v>
      </c>
      <c r="B26" s="1751">
        <v>15300</v>
      </c>
      <c r="C26" s="1751">
        <v>15899</v>
      </c>
    </row>
    <row r="27" spans="1:3">
      <c r="A27" s="1752" t="s">
        <v>125</v>
      </c>
      <c r="B27" s="1751">
        <v>287462.652</v>
      </c>
      <c r="C27" s="1751">
        <v>293620.35100000002</v>
      </c>
    </row>
    <row r="28" spans="1:3">
      <c r="A28" s="1753" t="s">
        <v>126</v>
      </c>
      <c r="B28" s="1751">
        <v>270162.652</v>
      </c>
      <c r="C28" s="1751">
        <v>271124.29200000002</v>
      </c>
    </row>
    <row r="29" spans="1:3">
      <c r="A29" s="1753" t="s">
        <v>136</v>
      </c>
      <c r="B29" s="1751">
        <v>17300</v>
      </c>
      <c r="C29" s="1751">
        <v>22496.059000000001</v>
      </c>
    </row>
    <row r="30" spans="1:3">
      <c r="A30" s="1752" t="s">
        <v>1180</v>
      </c>
      <c r="B30" s="1751">
        <v>122015</v>
      </c>
      <c r="C30" s="1751">
        <v>132784</v>
      </c>
    </row>
    <row r="31" spans="1:3">
      <c r="A31" s="1753" t="s">
        <v>126</v>
      </c>
      <c r="B31" s="1751">
        <v>60469</v>
      </c>
      <c r="C31" s="1751">
        <v>60530</v>
      </c>
    </row>
    <row r="32" spans="1:3">
      <c r="A32" s="1753" t="s">
        <v>136</v>
      </c>
      <c r="B32" s="1751">
        <v>61546</v>
      </c>
      <c r="C32" s="1751">
        <v>72254</v>
      </c>
    </row>
    <row r="33" spans="1:3">
      <c r="A33" s="1752" t="s">
        <v>466</v>
      </c>
      <c r="B33" s="1751">
        <v>8900</v>
      </c>
      <c r="C33" s="1751">
        <v>12374.583000000001</v>
      </c>
    </row>
    <row r="34" spans="1:3">
      <c r="A34" s="1753" t="s">
        <v>126</v>
      </c>
      <c r="B34" s="1751">
        <v>6000</v>
      </c>
      <c r="C34" s="1751">
        <v>6000</v>
      </c>
    </row>
    <row r="35" spans="1:3">
      <c r="A35" s="1753" t="s">
        <v>136</v>
      </c>
      <c r="B35" s="1751">
        <v>2900</v>
      </c>
      <c r="C35" s="1751">
        <v>6374.5830000000005</v>
      </c>
    </row>
    <row r="36" spans="1:3">
      <c r="A36" s="1752" t="s">
        <v>1521</v>
      </c>
      <c r="B36" s="1751">
        <v>1150154.912</v>
      </c>
      <c r="C36" s="1751">
        <v>1342085.996</v>
      </c>
    </row>
    <row r="39" spans="1:3">
      <c r="C39" s="1867">
        <f>GETPIVOTDATA("Součet z Upravený rozpočet 2014 v tis. Kč",$A$3)-GETPIVOTDATA("Součet z Schválený rozpočet 2014 v tis. Kč",$A$3)</f>
        <v>191931.08400000003</v>
      </c>
    </row>
    <row r="40" spans="1:3">
      <c r="C40" s="1867">
        <f>191931084/1000</f>
        <v>191931.084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11"/>
  <sheetViews>
    <sheetView topLeftCell="A284" zoomScaleNormal="100" workbookViewId="0">
      <selection activeCell="I239" sqref="I192:I239"/>
    </sheetView>
  </sheetViews>
  <sheetFormatPr defaultRowHeight="15"/>
  <cols>
    <col min="1" max="1" width="9.85546875" style="98" customWidth="1"/>
    <col min="2" max="2" width="11.28515625" style="99" customWidth="1"/>
    <col min="3" max="3" width="30.140625" style="99" customWidth="1"/>
    <col min="4" max="4" width="6.42578125" style="100" customWidth="1"/>
    <col min="5" max="5" width="8.140625" style="785" customWidth="1"/>
    <col min="6" max="6" width="50" style="202" customWidth="1"/>
    <col min="7" max="7" width="15.5703125" style="955" hidden="1" customWidth="1"/>
    <col min="8" max="8" width="16" style="955" hidden="1" customWidth="1"/>
    <col min="9" max="10" width="12.7109375" style="1309" customWidth="1"/>
  </cols>
  <sheetData>
    <row r="1" spans="1:10" ht="36.75" customHeight="1">
      <c r="A1" s="1299" t="s">
        <v>40</v>
      </c>
      <c r="B1" s="1507" t="s">
        <v>42</v>
      </c>
      <c r="C1" s="1522" t="s">
        <v>1439</v>
      </c>
      <c r="D1" s="1301" t="s">
        <v>123</v>
      </c>
      <c r="E1" s="1302" t="s">
        <v>124</v>
      </c>
      <c r="F1" s="1300" t="s">
        <v>1440</v>
      </c>
      <c r="G1" s="1303" t="s">
        <v>44</v>
      </c>
      <c r="H1" s="1303" t="s">
        <v>43</v>
      </c>
      <c r="I1" s="1306" t="s">
        <v>1514</v>
      </c>
      <c r="J1" s="1306" t="s">
        <v>1515</v>
      </c>
    </row>
    <row r="2" spans="1:10" s="1311" customFormat="1">
      <c r="A2" s="1310">
        <v>1</v>
      </c>
      <c r="B2" s="1508">
        <v>6112</v>
      </c>
      <c r="C2" s="1536" t="s">
        <v>125</v>
      </c>
      <c r="D2" s="1537">
        <v>1</v>
      </c>
      <c r="E2" s="1538" t="s">
        <v>126</v>
      </c>
      <c r="F2" s="201" t="s">
        <v>114</v>
      </c>
      <c r="G2" s="1539">
        <f>OKT!I14</f>
        <v>7445</v>
      </c>
      <c r="H2" s="1539">
        <f>OKT!J14</f>
        <v>7445</v>
      </c>
      <c r="I2" s="1540">
        <f>OKT!K14</f>
        <v>8425</v>
      </c>
      <c r="J2" s="1540">
        <f>OKT!L14</f>
        <v>8425</v>
      </c>
    </row>
    <row r="3" spans="1:10" s="1311" customFormat="1">
      <c r="A3" s="1312" t="s">
        <v>127</v>
      </c>
      <c r="B3" s="1508">
        <v>6171</v>
      </c>
      <c r="C3" s="1536" t="s">
        <v>125</v>
      </c>
      <c r="D3" s="1537">
        <v>1</v>
      </c>
      <c r="E3" s="1538" t="s">
        <v>126</v>
      </c>
      <c r="F3" s="201" t="s">
        <v>128</v>
      </c>
      <c r="G3" s="1539">
        <f>OKT!I26</f>
        <v>122570</v>
      </c>
      <c r="H3" s="1539">
        <f>OKT!J26</f>
        <v>125370</v>
      </c>
      <c r="I3" s="1540">
        <f>OKT!K26</f>
        <v>130295</v>
      </c>
      <c r="J3" s="1540">
        <f>OKT!L26</f>
        <v>130295</v>
      </c>
    </row>
    <row r="4" spans="1:10" s="1311" customFormat="1">
      <c r="A4" s="1310">
        <v>1</v>
      </c>
      <c r="B4" s="1508">
        <v>6171</v>
      </c>
      <c r="C4" s="1536" t="s">
        <v>125</v>
      </c>
      <c r="D4" s="1537">
        <v>1</v>
      </c>
      <c r="E4" s="1538" t="s">
        <v>126</v>
      </c>
      <c r="F4" s="201" t="s">
        <v>129</v>
      </c>
      <c r="G4" s="1539">
        <f>OKT!I32</f>
        <v>0</v>
      </c>
      <c r="H4" s="1539">
        <f>OKT!J32</f>
        <v>3650</v>
      </c>
      <c r="I4" s="1540">
        <f>OKT!K32</f>
        <v>0</v>
      </c>
      <c r="J4" s="1540">
        <f>OKT!L32</f>
        <v>0</v>
      </c>
    </row>
    <row r="5" spans="1:10" s="1311" customFormat="1">
      <c r="A5" s="1310">
        <v>1</v>
      </c>
      <c r="B5" s="1508">
        <v>6171</v>
      </c>
      <c r="C5" s="1536" t="s">
        <v>125</v>
      </c>
      <c r="D5" s="1537">
        <v>1</v>
      </c>
      <c r="E5" s="1538" t="s">
        <v>126</v>
      </c>
      <c r="F5" s="201" t="s">
        <v>130</v>
      </c>
      <c r="G5" s="1539">
        <f>OKT!I36</f>
        <v>0</v>
      </c>
      <c r="H5" s="1539">
        <f>OKT!J36</f>
        <v>240</v>
      </c>
      <c r="I5" s="1540">
        <f>OKT!K36</f>
        <v>0</v>
      </c>
      <c r="J5" s="1540">
        <f>OKT!L36</f>
        <v>0</v>
      </c>
    </row>
    <row r="6" spans="1:10" s="1311" customFormat="1">
      <c r="A6" s="1310">
        <v>1</v>
      </c>
      <c r="B6" s="1508">
        <v>6171</v>
      </c>
      <c r="C6" s="1536" t="s">
        <v>125</v>
      </c>
      <c r="D6" s="1537">
        <v>1</v>
      </c>
      <c r="E6" s="1538" t="s">
        <v>126</v>
      </c>
      <c r="F6" s="201" t="s">
        <v>131</v>
      </c>
      <c r="G6" s="1539">
        <f>OKT!I40</f>
        <v>0</v>
      </c>
      <c r="H6" s="1539">
        <f>OKT!J40</f>
        <v>65.555250000000001</v>
      </c>
      <c r="I6" s="1540">
        <f>OKT!K40</f>
        <v>0</v>
      </c>
      <c r="J6" s="1540">
        <f>OKT!L40</f>
        <v>0</v>
      </c>
    </row>
    <row r="7" spans="1:10" s="1311" customFormat="1">
      <c r="A7" s="1310">
        <v>1</v>
      </c>
      <c r="B7" s="1508">
        <v>6171</v>
      </c>
      <c r="C7" s="1536" t="s">
        <v>125</v>
      </c>
      <c r="D7" s="1537">
        <v>1</v>
      </c>
      <c r="E7" s="1538" t="s">
        <v>126</v>
      </c>
      <c r="F7" s="201" t="s">
        <v>132</v>
      </c>
      <c r="G7" s="1539">
        <f>OKT!I45</f>
        <v>0</v>
      </c>
      <c r="H7" s="1539">
        <f>OKT!J45</f>
        <v>144.62174999999999</v>
      </c>
      <c r="I7" s="1540">
        <f>OKT!K45</f>
        <v>0</v>
      </c>
      <c r="J7" s="1540">
        <f>OKT!L45</f>
        <v>0</v>
      </c>
    </row>
    <row r="8" spans="1:10" s="1311" customFormat="1">
      <c r="A8" s="1312" t="s">
        <v>138</v>
      </c>
      <c r="B8" s="1508">
        <v>5512</v>
      </c>
      <c r="C8" s="1536" t="s">
        <v>140</v>
      </c>
      <c r="D8" s="1537">
        <v>1</v>
      </c>
      <c r="E8" s="1538" t="s">
        <v>126</v>
      </c>
      <c r="F8" s="201" t="s">
        <v>133</v>
      </c>
      <c r="G8" s="1539">
        <f>OKT!I63</f>
        <v>925</v>
      </c>
      <c r="H8" s="1539">
        <f>OKT!J63</f>
        <v>941</v>
      </c>
      <c r="I8" s="1540">
        <f>OKT!K63</f>
        <v>899</v>
      </c>
      <c r="J8" s="1540">
        <f>OKT!L63</f>
        <v>899</v>
      </c>
    </row>
    <row r="9" spans="1:10" s="1311" customFormat="1">
      <c r="A9" s="1310">
        <v>277</v>
      </c>
      <c r="B9" s="1508">
        <v>5511</v>
      </c>
      <c r="C9" s="1536" t="s">
        <v>140</v>
      </c>
      <c r="D9" s="1537">
        <v>1</v>
      </c>
      <c r="E9" s="1538" t="s">
        <v>126</v>
      </c>
      <c r="F9" s="201" t="s">
        <v>134</v>
      </c>
      <c r="G9" s="1539">
        <f>OKT!I64</f>
        <v>0</v>
      </c>
      <c r="H9" s="1539">
        <f>OKT!J64</f>
        <v>150</v>
      </c>
      <c r="I9" s="1540">
        <f>OKT!K64</f>
        <v>0</v>
      </c>
      <c r="J9" s="1540">
        <f>OKT!L64</f>
        <v>0</v>
      </c>
    </row>
    <row r="10" spans="1:10" s="1311" customFormat="1">
      <c r="A10" s="1310">
        <v>277</v>
      </c>
      <c r="B10" s="1508">
        <v>5511</v>
      </c>
      <c r="C10" s="1536" t="s">
        <v>140</v>
      </c>
      <c r="D10" s="1537">
        <v>1</v>
      </c>
      <c r="E10" s="1541" t="s">
        <v>136</v>
      </c>
      <c r="F10" s="201" t="s">
        <v>137</v>
      </c>
      <c r="G10" s="1539">
        <f>OKT!I105</f>
        <v>1400</v>
      </c>
      <c r="H10" s="1539">
        <f>OKT!J105</f>
        <v>1250</v>
      </c>
      <c r="I10" s="1540">
        <f>OKT!K105</f>
        <v>0</v>
      </c>
      <c r="J10" s="1540">
        <f>OKT!L105</f>
        <v>0</v>
      </c>
    </row>
    <row r="11" spans="1:10" s="1311" customFormat="1">
      <c r="A11" s="1310">
        <v>4310</v>
      </c>
      <c r="B11" s="1508" t="s">
        <v>139</v>
      </c>
      <c r="C11" s="1536" t="s">
        <v>140</v>
      </c>
      <c r="D11" s="1537">
        <v>1</v>
      </c>
      <c r="E11" s="1538" t="s">
        <v>126</v>
      </c>
      <c r="F11" s="201" t="s">
        <v>135</v>
      </c>
      <c r="G11" s="1539">
        <f>OKT!I77</f>
        <v>190</v>
      </c>
      <c r="H11" s="1539">
        <f>OKT!J77</f>
        <v>590</v>
      </c>
      <c r="I11" s="1540">
        <f>OKT!K77</f>
        <v>368</v>
      </c>
      <c r="J11" s="1540">
        <f>OKT!L77</f>
        <v>368</v>
      </c>
    </row>
    <row r="12" spans="1:10" s="1311" customFormat="1">
      <c r="A12" s="1310">
        <v>225</v>
      </c>
      <c r="B12" s="1509" t="s">
        <v>1099</v>
      </c>
      <c r="C12" s="1536" t="s">
        <v>164</v>
      </c>
      <c r="D12" s="1537">
        <v>2</v>
      </c>
      <c r="E12" s="1538" t="s">
        <v>126</v>
      </c>
      <c r="F12" s="201" t="s">
        <v>155</v>
      </c>
      <c r="G12" s="1539">
        <f>OŽP!F14</f>
        <v>455</v>
      </c>
      <c r="H12" s="1539">
        <f>OŽP!G14</f>
        <v>735.29899999999998</v>
      </c>
      <c r="I12" s="1540">
        <f>OŽP!H14</f>
        <v>320</v>
      </c>
      <c r="J12" s="1540">
        <f>OŽP!I14</f>
        <v>320</v>
      </c>
    </row>
    <row r="13" spans="1:10" s="1311" customFormat="1" ht="15.75" customHeight="1">
      <c r="A13" s="1310">
        <v>225</v>
      </c>
      <c r="B13" s="1508" t="s">
        <v>165</v>
      </c>
      <c r="C13" s="1536" t="s">
        <v>164</v>
      </c>
      <c r="D13" s="1537">
        <v>2</v>
      </c>
      <c r="E13" s="1538" t="s">
        <v>126</v>
      </c>
      <c r="F13" s="201" t="s">
        <v>158</v>
      </c>
      <c r="G13" s="1539">
        <f>OŽP!F17</f>
        <v>100</v>
      </c>
      <c r="H13" s="1539">
        <f>OŽP!G17</f>
        <v>279.48</v>
      </c>
      <c r="I13" s="1540">
        <f>OŽP!H17</f>
        <v>0</v>
      </c>
      <c r="J13" s="1540">
        <f>OŽP!I17</f>
        <v>0</v>
      </c>
    </row>
    <row r="14" spans="1:10" s="1311" customFormat="1">
      <c r="A14" s="1310">
        <v>225</v>
      </c>
      <c r="B14" s="1508">
        <v>3716</v>
      </c>
      <c r="C14" s="1536" t="s">
        <v>164</v>
      </c>
      <c r="D14" s="1537">
        <v>2</v>
      </c>
      <c r="E14" s="1541" t="s">
        <v>136</v>
      </c>
      <c r="F14" s="201" t="s">
        <v>161</v>
      </c>
      <c r="G14" s="1539">
        <f>OŽP!F29</f>
        <v>2000</v>
      </c>
      <c r="H14" s="1539">
        <f>OŽP!G29</f>
        <v>2000</v>
      </c>
      <c r="I14" s="1540">
        <f>OŽP!H29</f>
        <v>0</v>
      </c>
      <c r="J14" s="1540">
        <f>OŽP!I29</f>
        <v>0</v>
      </c>
    </row>
    <row r="15" spans="1:10" s="1311" customFormat="1">
      <c r="A15" s="1310">
        <v>270</v>
      </c>
      <c r="B15" s="1508">
        <v>6171</v>
      </c>
      <c r="C15" s="1536" t="s">
        <v>125</v>
      </c>
      <c r="D15" s="1537">
        <v>10</v>
      </c>
      <c r="E15" s="1538" t="s">
        <v>126</v>
      </c>
      <c r="F15" s="201" t="s">
        <v>795</v>
      </c>
      <c r="G15" s="1539">
        <f>OD!F13</f>
        <v>470</v>
      </c>
      <c r="H15" s="1539">
        <f>OD!G13</f>
        <v>470</v>
      </c>
      <c r="I15" s="1540">
        <f>OD!H13</f>
        <v>470</v>
      </c>
      <c r="J15" s="1540">
        <f>OD!I13</f>
        <v>470</v>
      </c>
    </row>
    <row r="16" spans="1:10" s="1311" customFormat="1" ht="15" customHeight="1">
      <c r="A16" s="1310">
        <v>270</v>
      </c>
      <c r="B16" s="1508">
        <v>2223</v>
      </c>
      <c r="C16" s="1536" t="s">
        <v>465</v>
      </c>
      <c r="D16" s="1537">
        <v>10</v>
      </c>
      <c r="E16" s="1538" t="s">
        <v>126</v>
      </c>
      <c r="F16" s="201" t="s">
        <v>796</v>
      </c>
      <c r="G16" s="1539">
        <f>OD!F14</f>
        <v>100</v>
      </c>
      <c r="H16" s="1539">
        <f>OD!G14</f>
        <v>100</v>
      </c>
      <c r="I16" s="1540">
        <f>OD!H14</f>
        <v>100</v>
      </c>
      <c r="J16" s="1540">
        <f>OD!I14</f>
        <v>100</v>
      </c>
    </row>
    <row r="17" spans="1:10" s="1311" customFormat="1">
      <c r="A17" s="1310">
        <v>281</v>
      </c>
      <c r="B17" s="1508">
        <v>2221</v>
      </c>
      <c r="C17" s="1536" t="s">
        <v>465</v>
      </c>
      <c r="D17" s="1537">
        <v>10</v>
      </c>
      <c r="E17" s="1538" t="s">
        <v>126</v>
      </c>
      <c r="F17" s="201" t="s">
        <v>799</v>
      </c>
      <c r="G17" s="1539">
        <f>OD!F15</f>
        <v>69826</v>
      </c>
      <c r="H17" s="1539">
        <f>OD!G15</f>
        <v>70077.861999999994</v>
      </c>
      <c r="I17" s="1540">
        <f>OD!H15</f>
        <v>69829</v>
      </c>
      <c r="J17" s="1540">
        <f>OD!I15</f>
        <v>69829</v>
      </c>
    </row>
    <row r="18" spans="1:10" s="1311" customFormat="1">
      <c r="A18" s="1310">
        <v>1200</v>
      </c>
      <c r="B18" s="1508">
        <v>6171</v>
      </c>
      <c r="C18" s="1536" t="s">
        <v>125</v>
      </c>
      <c r="D18" s="1537">
        <v>12</v>
      </c>
      <c r="E18" s="1538" t="s">
        <v>126</v>
      </c>
      <c r="F18" s="201" t="s">
        <v>172</v>
      </c>
      <c r="G18" s="1539">
        <f>OPP!F12</f>
        <v>26</v>
      </c>
      <c r="H18" s="1539">
        <f>OPP!G12</f>
        <v>26</v>
      </c>
      <c r="I18" s="1540">
        <f>OPP!H12</f>
        <v>23</v>
      </c>
      <c r="J18" s="1540">
        <f>OPP!I12</f>
        <v>23</v>
      </c>
    </row>
    <row r="19" spans="1:10" s="1311" customFormat="1">
      <c r="A19" s="1310">
        <v>2863</v>
      </c>
      <c r="B19" s="1508">
        <v>3699</v>
      </c>
      <c r="C19" s="1536" t="s">
        <v>228</v>
      </c>
      <c r="D19" s="1537">
        <v>13</v>
      </c>
      <c r="E19" s="1538" t="s">
        <v>126</v>
      </c>
      <c r="F19" s="201" t="s">
        <v>1110</v>
      </c>
      <c r="G19" s="1539">
        <f>PRÁV!F20</f>
        <v>13953</v>
      </c>
      <c r="H19" s="1539">
        <f>PRÁV!G20</f>
        <v>35803</v>
      </c>
      <c r="I19" s="1540">
        <f>PRÁV!H20</f>
        <v>16071</v>
      </c>
      <c r="J19" s="1540">
        <f>PRÁV!I20</f>
        <v>41624</v>
      </c>
    </row>
    <row r="20" spans="1:10" s="1311" customFormat="1" ht="16.5" customHeight="1">
      <c r="A20" s="1310">
        <v>1710</v>
      </c>
      <c r="B20" s="1508">
        <v>6171</v>
      </c>
      <c r="C20" s="1536" t="s">
        <v>125</v>
      </c>
      <c r="D20" s="1537">
        <v>17</v>
      </c>
      <c r="E20" s="1538" t="s">
        <v>126</v>
      </c>
      <c r="F20" s="201" t="s">
        <v>171</v>
      </c>
      <c r="G20" s="1539">
        <f>ObŽÚ!F14</f>
        <v>0</v>
      </c>
      <c r="H20" s="1539">
        <f>ObŽÚ!G14</f>
        <v>60</v>
      </c>
      <c r="I20" s="1540">
        <f>ObŽÚ!H14</f>
        <v>0</v>
      </c>
      <c r="J20" s="1540">
        <f>ObŽÚ!I14</f>
        <v>0</v>
      </c>
    </row>
    <row r="21" spans="1:10" s="1311" customFormat="1" ht="16.5" customHeight="1">
      <c r="A21" s="1310">
        <v>297</v>
      </c>
      <c r="B21" s="1508">
        <v>6171</v>
      </c>
      <c r="C21" s="1536" t="s">
        <v>125</v>
      </c>
      <c r="D21" s="1537">
        <v>19</v>
      </c>
      <c r="E21" s="1538" t="s">
        <v>126</v>
      </c>
      <c r="F21" s="201" t="s">
        <v>840</v>
      </c>
      <c r="G21" s="1539">
        <f>OVV!F43</f>
        <v>13243</v>
      </c>
      <c r="H21" s="1539">
        <f>OVV!G43</f>
        <v>14850.35418</v>
      </c>
      <c r="I21" s="1540">
        <f>OVV!H43</f>
        <v>13224</v>
      </c>
      <c r="J21" s="1540">
        <f>OVV!I43</f>
        <v>13224</v>
      </c>
    </row>
    <row r="22" spans="1:10" s="1311" customFormat="1" ht="16.5" customHeight="1">
      <c r="A22" s="1310">
        <v>292</v>
      </c>
      <c r="B22" s="1508">
        <v>6171</v>
      </c>
      <c r="C22" s="1536" t="s">
        <v>125</v>
      </c>
      <c r="D22" s="1537">
        <v>19</v>
      </c>
      <c r="E22" s="1538" t="s">
        <v>126</v>
      </c>
      <c r="F22" s="201" t="s">
        <v>844</v>
      </c>
      <c r="G22" s="1539">
        <f>OVV!F57</f>
        <v>8635</v>
      </c>
      <c r="H22" s="1539">
        <f>OVV!G57</f>
        <v>8625.3150100000003</v>
      </c>
      <c r="I22" s="1540">
        <f>OVV!H57</f>
        <v>8147</v>
      </c>
      <c r="J22" s="1540">
        <f>OVV!I57</f>
        <v>9007</v>
      </c>
    </row>
    <row r="23" spans="1:10" s="1311" customFormat="1" ht="16.5" customHeight="1">
      <c r="A23" s="1310">
        <v>297</v>
      </c>
      <c r="B23" s="1508">
        <v>6171</v>
      </c>
      <c r="C23" s="1536" t="s">
        <v>125</v>
      </c>
      <c r="D23" s="1537">
        <v>19</v>
      </c>
      <c r="E23" s="1541" t="s">
        <v>136</v>
      </c>
      <c r="F23" s="201" t="s">
        <v>1100</v>
      </c>
      <c r="G23" s="1539">
        <f>OVV!F83</f>
        <v>150</v>
      </c>
      <c r="H23" s="1539">
        <f>OVV!G83</f>
        <v>205</v>
      </c>
      <c r="I23" s="1540">
        <f>OVV!H83</f>
        <v>0</v>
      </c>
      <c r="J23" s="1540">
        <f>OVV!I83</f>
        <v>0</v>
      </c>
    </row>
    <row r="24" spans="1:10" s="1311" customFormat="1" ht="16.5" customHeight="1">
      <c r="A24" s="1310">
        <v>292</v>
      </c>
      <c r="B24" s="1508">
        <v>6171</v>
      </c>
      <c r="C24" s="1536" t="s">
        <v>125</v>
      </c>
      <c r="D24" s="1537">
        <v>19</v>
      </c>
      <c r="E24" s="1541" t="s">
        <v>136</v>
      </c>
      <c r="F24" s="201" t="s">
        <v>1101</v>
      </c>
      <c r="G24" s="1539">
        <f>OVV!F82</f>
        <v>270</v>
      </c>
      <c r="H24" s="1539">
        <f>OVV!G82</f>
        <v>215</v>
      </c>
      <c r="I24" s="1540">
        <f>OVV!H82</f>
        <v>850</v>
      </c>
      <c r="J24" s="1540">
        <f>OVV!I82</f>
        <v>850</v>
      </c>
    </row>
    <row r="25" spans="1:10" s="1311" customFormat="1">
      <c r="A25" s="1310">
        <v>294</v>
      </c>
      <c r="B25" s="1508">
        <v>5311</v>
      </c>
      <c r="C25" s="1536" t="s">
        <v>140</v>
      </c>
      <c r="D25" s="1537">
        <v>20</v>
      </c>
      <c r="E25" s="1538" t="s">
        <v>126</v>
      </c>
      <c r="F25" s="201" t="s">
        <v>735</v>
      </c>
      <c r="G25" s="1539">
        <f>MP!F45</f>
        <v>40485</v>
      </c>
      <c r="H25" s="1539">
        <f>MP!G45</f>
        <v>42274</v>
      </c>
      <c r="I25" s="1540">
        <f>MP!H45</f>
        <v>42559</v>
      </c>
      <c r="J25" s="1540">
        <f>MP!I45</f>
        <v>42559</v>
      </c>
    </row>
    <row r="26" spans="1:10" s="1311" customFormat="1">
      <c r="A26" s="1312" t="s">
        <v>762</v>
      </c>
      <c r="B26" s="1510" t="s">
        <v>763</v>
      </c>
      <c r="C26" s="1536" t="s">
        <v>125</v>
      </c>
      <c r="D26" s="1537">
        <v>20</v>
      </c>
      <c r="E26" s="1538" t="s">
        <v>126</v>
      </c>
      <c r="F26" s="201" t="s">
        <v>758</v>
      </c>
      <c r="G26" s="1539">
        <f>MP!F60</f>
        <v>761</v>
      </c>
      <c r="H26" s="1539">
        <f>MP!G60</f>
        <v>823</v>
      </c>
      <c r="I26" s="1540">
        <f>MP!H60</f>
        <v>1031</v>
      </c>
      <c r="J26" s="1540">
        <f>MP!I60</f>
        <v>1031</v>
      </c>
    </row>
    <row r="27" spans="1:10" s="1311" customFormat="1">
      <c r="A27" s="1310">
        <v>294</v>
      </c>
      <c r="B27" s="1508">
        <v>5311</v>
      </c>
      <c r="C27" s="1536" t="s">
        <v>140</v>
      </c>
      <c r="D27" s="1537">
        <v>20</v>
      </c>
      <c r="E27" s="1541" t="s">
        <v>136</v>
      </c>
      <c r="F27" s="201" t="s">
        <v>759</v>
      </c>
      <c r="G27" s="1539">
        <f>MP!F84</f>
        <v>200</v>
      </c>
      <c r="H27" s="1539">
        <f>MP!G84</f>
        <v>200</v>
      </c>
      <c r="I27" s="1540">
        <f>MP!H84</f>
        <v>250</v>
      </c>
      <c r="J27" s="1540">
        <f>MP!I84</f>
        <v>250</v>
      </c>
    </row>
    <row r="28" spans="1:10" s="1311" customFormat="1">
      <c r="A28" s="1310">
        <v>294</v>
      </c>
      <c r="B28" s="1508">
        <v>5311</v>
      </c>
      <c r="C28" s="1536" t="s">
        <v>140</v>
      </c>
      <c r="D28" s="1537">
        <v>20</v>
      </c>
      <c r="E28" s="1541" t="s">
        <v>136</v>
      </c>
      <c r="F28" s="201" t="s">
        <v>761</v>
      </c>
      <c r="G28" s="1539">
        <f>MP!F87</f>
        <v>0</v>
      </c>
      <c r="H28" s="1539">
        <f>MP!G87</f>
        <v>0</v>
      </c>
      <c r="I28" s="1540">
        <f>MP!H87</f>
        <v>500</v>
      </c>
      <c r="J28" s="1540">
        <f>MP!I87</f>
        <v>500</v>
      </c>
    </row>
    <row r="29" spans="1:10" s="1311" customFormat="1">
      <c r="A29" s="1310">
        <v>291</v>
      </c>
      <c r="B29" s="1508">
        <v>6171</v>
      </c>
      <c r="C29" s="1536" t="s">
        <v>125</v>
      </c>
      <c r="D29" s="1537">
        <v>21</v>
      </c>
      <c r="E29" s="1538" t="s">
        <v>126</v>
      </c>
      <c r="F29" s="201" t="s">
        <v>1105</v>
      </c>
      <c r="G29" s="1539">
        <f>OIT!F30</f>
        <v>22458</v>
      </c>
      <c r="H29" s="1539">
        <f>OIT!G30</f>
        <v>25345.209209999997</v>
      </c>
      <c r="I29" s="1540">
        <f>OIT!H30</f>
        <v>20883.652000000002</v>
      </c>
      <c r="J29" s="1540">
        <f>OIT!I30</f>
        <v>20985.292000000001</v>
      </c>
    </row>
    <row r="30" spans="1:10" s="1311" customFormat="1">
      <c r="A30" s="1310">
        <v>291</v>
      </c>
      <c r="B30" s="1508">
        <v>6171</v>
      </c>
      <c r="C30" s="1536" t="s">
        <v>125</v>
      </c>
      <c r="D30" s="1537">
        <v>21</v>
      </c>
      <c r="E30" s="1541" t="s">
        <v>136</v>
      </c>
      <c r="F30" s="201" t="s">
        <v>1491</v>
      </c>
      <c r="G30" s="1539"/>
      <c r="H30" s="1539"/>
      <c r="I30" s="1540">
        <f>OIT!H39</f>
        <v>0</v>
      </c>
      <c r="J30" s="1540">
        <f>OIT!I39</f>
        <v>1406.4659999999999</v>
      </c>
    </row>
    <row r="31" spans="1:10" s="1311" customFormat="1">
      <c r="A31" s="1310">
        <v>291</v>
      </c>
      <c r="B31" s="1508">
        <v>6171</v>
      </c>
      <c r="C31" s="1536" t="s">
        <v>125</v>
      </c>
      <c r="D31" s="1537">
        <v>21</v>
      </c>
      <c r="E31" s="1541" t="s">
        <v>136</v>
      </c>
      <c r="F31" s="201" t="s">
        <v>867</v>
      </c>
      <c r="G31" s="1539">
        <f>OIT!F38</f>
        <v>2100</v>
      </c>
      <c r="H31" s="1539">
        <f>OIT!G38</f>
        <v>2100</v>
      </c>
      <c r="I31" s="1540">
        <f>OIT!H38</f>
        <v>600</v>
      </c>
      <c r="J31" s="1540">
        <f>OIT!I38</f>
        <v>600</v>
      </c>
    </row>
    <row r="32" spans="1:10" s="1311" customFormat="1">
      <c r="A32" s="1310">
        <v>291</v>
      </c>
      <c r="B32" s="1508">
        <v>6171</v>
      </c>
      <c r="C32" s="1536" t="s">
        <v>125</v>
      </c>
      <c r="D32" s="1537">
        <v>21</v>
      </c>
      <c r="E32" s="1541" t="s">
        <v>136</v>
      </c>
      <c r="F32" s="201" t="s">
        <v>868</v>
      </c>
      <c r="G32" s="1539">
        <f>SUM(OIT!F40:F41)</f>
        <v>800</v>
      </c>
      <c r="H32" s="1539">
        <f>SUM(OIT!G40:G41)</f>
        <v>1000</v>
      </c>
      <c r="I32" s="1540">
        <f>SUM(OIT!H40:H41)</f>
        <v>200</v>
      </c>
      <c r="J32" s="1540">
        <f>SUM(OIT!I40:I41)</f>
        <v>200</v>
      </c>
    </row>
    <row r="33" spans="1:10" s="1311" customFormat="1">
      <c r="A33" s="1310">
        <v>291</v>
      </c>
      <c r="B33" s="1508">
        <v>6171</v>
      </c>
      <c r="C33" s="1536" t="s">
        <v>125</v>
      </c>
      <c r="D33" s="1537">
        <v>21</v>
      </c>
      <c r="E33" s="1541" t="s">
        <v>136</v>
      </c>
      <c r="F33" s="201" t="s">
        <v>1103</v>
      </c>
      <c r="G33" s="1539">
        <f>OIT!F44</f>
        <v>0</v>
      </c>
      <c r="H33" s="1539">
        <f>OIT!G44</f>
        <v>0</v>
      </c>
      <c r="I33" s="1540">
        <f>OIT!H44</f>
        <v>4500</v>
      </c>
      <c r="J33" s="1540">
        <f>OIT!I44</f>
        <v>4500</v>
      </c>
    </row>
    <row r="34" spans="1:10" s="1311" customFormat="1">
      <c r="A34" s="1310">
        <v>291</v>
      </c>
      <c r="B34" s="1508">
        <v>6171</v>
      </c>
      <c r="C34" s="1536" t="s">
        <v>125</v>
      </c>
      <c r="D34" s="1537">
        <v>21</v>
      </c>
      <c r="E34" s="1541" t="s">
        <v>136</v>
      </c>
      <c r="F34" s="201" t="s">
        <v>1492</v>
      </c>
      <c r="G34" s="1539"/>
      <c r="H34" s="1539"/>
      <c r="I34" s="1540">
        <f>OIT!H46</f>
        <v>0</v>
      </c>
      <c r="J34" s="1540">
        <f>OIT!I46</f>
        <v>3789.5929999999998</v>
      </c>
    </row>
    <row r="35" spans="1:10" s="1311" customFormat="1" ht="15" customHeight="1">
      <c r="A35" s="1310">
        <v>291</v>
      </c>
      <c r="B35" s="1508">
        <v>6171</v>
      </c>
      <c r="C35" s="1536" t="s">
        <v>125</v>
      </c>
      <c r="D35" s="1537">
        <v>21</v>
      </c>
      <c r="E35" s="1541" t="s">
        <v>136</v>
      </c>
      <c r="F35" s="201" t="s">
        <v>869</v>
      </c>
      <c r="G35" s="1539">
        <f>OIT!F45</f>
        <v>5740</v>
      </c>
      <c r="H35" s="1539">
        <f>OIT!G45</f>
        <v>5740</v>
      </c>
      <c r="I35" s="1540">
        <f>OIT!H45</f>
        <v>5500</v>
      </c>
      <c r="J35" s="1540">
        <f>OIT!I45</f>
        <v>5500</v>
      </c>
    </row>
    <row r="36" spans="1:10" s="1311" customFormat="1">
      <c r="A36" s="1310">
        <v>291</v>
      </c>
      <c r="B36" s="1508">
        <v>6171</v>
      </c>
      <c r="C36" s="1536" t="s">
        <v>125</v>
      </c>
      <c r="D36" s="1537">
        <v>21</v>
      </c>
      <c r="E36" s="1541" t="s">
        <v>136</v>
      </c>
      <c r="F36" s="201" t="s">
        <v>1104</v>
      </c>
      <c r="G36" s="1539">
        <f>OIT!F42</f>
        <v>0</v>
      </c>
      <c r="H36" s="1539">
        <f>OIT!G42</f>
        <v>0</v>
      </c>
      <c r="I36" s="1540">
        <f>OIT!H42</f>
        <v>1050</v>
      </c>
      <c r="J36" s="1540">
        <f>OIT!I42</f>
        <v>1050</v>
      </c>
    </row>
    <row r="37" spans="1:10" s="1311" customFormat="1">
      <c r="A37" s="1310">
        <v>2911</v>
      </c>
      <c r="B37" s="1508">
        <v>6171</v>
      </c>
      <c r="C37" s="1536" t="s">
        <v>125</v>
      </c>
      <c r="D37" s="1537">
        <v>21</v>
      </c>
      <c r="E37" s="1541" t="s">
        <v>136</v>
      </c>
      <c r="F37" s="201" t="s">
        <v>873</v>
      </c>
      <c r="G37" s="1539">
        <f>OIT!F49</f>
        <v>1260</v>
      </c>
      <c r="H37" s="1539">
        <f>OIT!G49</f>
        <v>2660.5630000000001</v>
      </c>
      <c r="I37" s="1540">
        <f>OIT!H49</f>
        <v>0</v>
      </c>
      <c r="J37" s="1540">
        <f>OIT!I49</f>
        <v>0</v>
      </c>
    </row>
    <row r="38" spans="1:10" s="1311" customFormat="1" ht="25.5">
      <c r="A38" s="1310">
        <v>296</v>
      </c>
      <c r="B38" s="1508">
        <v>6172</v>
      </c>
      <c r="C38" s="1536" t="s">
        <v>125</v>
      </c>
      <c r="D38" s="1537">
        <v>21</v>
      </c>
      <c r="E38" s="1541" t="s">
        <v>136</v>
      </c>
      <c r="F38" s="201" t="s">
        <v>1102</v>
      </c>
      <c r="G38" s="1539">
        <f>OIT!F52</f>
        <v>23617</v>
      </c>
      <c r="H38" s="1539">
        <f>OIT!G52</f>
        <v>28662.552</v>
      </c>
      <c r="I38" s="1540">
        <f>OIT!H52</f>
        <v>0</v>
      </c>
      <c r="J38" s="1540">
        <f>OIT!I52</f>
        <v>0</v>
      </c>
    </row>
    <row r="39" spans="1:10" s="1311" customFormat="1" ht="15" customHeight="1">
      <c r="A39" s="1310">
        <v>1064</v>
      </c>
      <c r="B39" s="1508">
        <v>3311</v>
      </c>
      <c r="C39" s="1536" t="s">
        <v>1129</v>
      </c>
      <c r="D39" s="1537">
        <v>25</v>
      </c>
      <c r="E39" s="1538" t="s">
        <v>126</v>
      </c>
      <c r="F39" s="201" t="s">
        <v>1111</v>
      </c>
      <c r="G39" s="1539">
        <f>OKŠT!F15</f>
        <v>1204</v>
      </c>
      <c r="H39" s="1539">
        <f>OKŠT!G15</f>
        <v>1204</v>
      </c>
      <c r="I39" s="1540">
        <f>OKŠT!H15</f>
        <v>1084</v>
      </c>
      <c r="J39" s="1540">
        <f>OKŠT!I15</f>
        <v>1084</v>
      </c>
    </row>
    <row r="40" spans="1:10" s="1311" customFormat="1" ht="15" customHeight="1">
      <c r="A40" s="1310">
        <v>1069</v>
      </c>
      <c r="B40" s="1508">
        <v>3312</v>
      </c>
      <c r="C40" s="1536" t="s">
        <v>1129</v>
      </c>
      <c r="D40" s="1537">
        <v>25</v>
      </c>
      <c r="E40" s="1538" t="s">
        <v>126</v>
      </c>
      <c r="F40" s="201" t="s">
        <v>1112</v>
      </c>
      <c r="G40" s="1539">
        <f>OKŠT!F19</f>
        <v>25200</v>
      </c>
      <c r="H40" s="1539">
        <f>OKŠT!G19</f>
        <v>26270</v>
      </c>
      <c r="I40" s="1540">
        <f>OKŠT!H19</f>
        <v>23800</v>
      </c>
      <c r="J40" s="1540">
        <f>OKŠT!I19</f>
        <v>23800</v>
      </c>
    </row>
    <row r="41" spans="1:10" s="1311" customFormat="1" ht="15" customHeight="1">
      <c r="A41" s="1310">
        <v>2612</v>
      </c>
      <c r="B41" s="1508">
        <v>3429</v>
      </c>
      <c r="C41" s="1536" t="s">
        <v>1130</v>
      </c>
      <c r="D41" s="1537">
        <v>25</v>
      </c>
      <c r="E41" s="1538" t="s">
        <v>126</v>
      </c>
      <c r="F41" s="201" t="s">
        <v>1113</v>
      </c>
      <c r="G41" s="1539">
        <f>OKŠT!F22</f>
        <v>40</v>
      </c>
      <c r="H41" s="1539">
        <f>OKŠT!G22</f>
        <v>40</v>
      </c>
      <c r="I41" s="1540">
        <f>OKŠT!H22</f>
        <v>40</v>
      </c>
      <c r="J41" s="1540">
        <f>OKŠT!I22</f>
        <v>40</v>
      </c>
    </row>
    <row r="42" spans="1:10" s="1311" customFormat="1" ht="15" customHeight="1">
      <c r="A42" s="1310">
        <v>2617</v>
      </c>
      <c r="B42" s="1508">
        <v>3319</v>
      </c>
      <c r="C42" s="1536" t="s">
        <v>1129</v>
      </c>
      <c r="D42" s="1537">
        <v>25</v>
      </c>
      <c r="E42" s="1538" t="s">
        <v>126</v>
      </c>
      <c r="F42" s="201" t="s">
        <v>1114</v>
      </c>
      <c r="G42" s="1539">
        <f>OKŠT!F33</f>
        <v>1200</v>
      </c>
      <c r="H42" s="1539">
        <f>OKŠT!G33</f>
        <v>2753</v>
      </c>
      <c r="I42" s="1540">
        <f>OKŠT!H33</f>
        <v>1000</v>
      </c>
      <c r="J42" s="1540">
        <f>OKŠT!I33</f>
        <v>1999.5</v>
      </c>
    </row>
    <row r="43" spans="1:10" s="1311" customFormat="1" ht="15" customHeight="1">
      <c r="A43" s="1310" t="s">
        <v>911</v>
      </c>
      <c r="B43" s="1508">
        <v>3315</v>
      </c>
      <c r="C43" s="1536" t="s">
        <v>1129</v>
      </c>
      <c r="D43" s="1537">
        <v>25</v>
      </c>
      <c r="E43" s="1538" t="s">
        <v>126</v>
      </c>
      <c r="F43" s="201" t="s">
        <v>912</v>
      </c>
      <c r="G43" s="1539">
        <f>OKŠT!F34</f>
        <v>100</v>
      </c>
      <c r="H43" s="1539">
        <f>OKŠT!G34</f>
        <v>160</v>
      </c>
      <c r="I43" s="1540">
        <f>OKŠT!H34</f>
        <v>150</v>
      </c>
      <c r="J43" s="1540">
        <f>OKŠT!I34</f>
        <v>150</v>
      </c>
    </row>
    <row r="44" spans="1:10" s="1311" customFormat="1" ht="15" customHeight="1">
      <c r="A44" s="1310" t="s">
        <v>1106</v>
      </c>
      <c r="B44" s="1508" t="s">
        <v>705</v>
      </c>
      <c r="C44" s="1536" t="s">
        <v>1129</v>
      </c>
      <c r="D44" s="1537">
        <v>25</v>
      </c>
      <c r="E44" s="1538" t="s">
        <v>126</v>
      </c>
      <c r="F44" s="201" t="s">
        <v>1107</v>
      </c>
      <c r="G44" s="1539">
        <f>OKŠT!F35</f>
        <v>0</v>
      </c>
      <c r="H44" s="1539">
        <f>OKŠT!G35</f>
        <v>0</v>
      </c>
      <c r="I44" s="1540">
        <f>OKŠT!H35</f>
        <v>0</v>
      </c>
      <c r="J44" s="1540">
        <f>OKŠT!I35</f>
        <v>0</v>
      </c>
    </row>
    <row r="45" spans="1:10" s="1311" customFormat="1" ht="15" customHeight="1">
      <c r="A45" s="1310" t="s">
        <v>913</v>
      </c>
      <c r="B45" s="1508" t="s">
        <v>705</v>
      </c>
      <c r="C45" s="1536" t="s">
        <v>1129</v>
      </c>
      <c r="D45" s="1537">
        <v>25</v>
      </c>
      <c r="E45" s="1538" t="s">
        <v>126</v>
      </c>
      <c r="F45" s="201" t="s">
        <v>914</v>
      </c>
      <c r="G45" s="1539">
        <f>OKŠT!F36</f>
        <v>1500</v>
      </c>
      <c r="H45" s="1539">
        <f>OKŠT!G36</f>
        <v>1500</v>
      </c>
      <c r="I45" s="1540">
        <f>OKŠT!H36</f>
        <v>1300</v>
      </c>
      <c r="J45" s="1540">
        <f>OKŠT!I36</f>
        <v>1300</v>
      </c>
    </row>
    <row r="46" spans="1:10" s="1311" customFormat="1" ht="15" customHeight="1">
      <c r="A46" s="1310" t="s">
        <v>915</v>
      </c>
      <c r="B46" s="1508">
        <v>3311</v>
      </c>
      <c r="C46" s="1536" t="s">
        <v>1129</v>
      </c>
      <c r="D46" s="1537">
        <v>25</v>
      </c>
      <c r="E46" s="1538" t="s">
        <v>126</v>
      </c>
      <c r="F46" s="201" t="s">
        <v>916</v>
      </c>
      <c r="G46" s="1539">
        <f>OKŠT!F37</f>
        <v>15000</v>
      </c>
      <c r="H46" s="1539">
        <f>OKŠT!G37</f>
        <v>15400</v>
      </c>
      <c r="I46" s="1540">
        <f>OKŠT!H37</f>
        <v>13000</v>
      </c>
      <c r="J46" s="1540">
        <f>OKŠT!I37</f>
        <v>13000</v>
      </c>
    </row>
    <row r="47" spans="1:10" s="1311" customFormat="1" ht="15" customHeight="1">
      <c r="A47" s="1310" t="s">
        <v>917</v>
      </c>
      <c r="B47" s="1508" t="s">
        <v>661</v>
      </c>
      <c r="C47" s="1536" t="s">
        <v>773</v>
      </c>
      <c r="D47" s="1537">
        <v>25</v>
      </c>
      <c r="E47" s="1538" t="s">
        <v>126</v>
      </c>
      <c r="F47" s="201" t="s">
        <v>1115</v>
      </c>
      <c r="G47" s="1539">
        <f>OKŠT!F38</f>
        <v>300</v>
      </c>
      <c r="H47" s="1539">
        <f>OKŠT!G38</f>
        <v>300</v>
      </c>
      <c r="I47" s="1540">
        <f>OKŠT!H38</f>
        <v>0</v>
      </c>
      <c r="J47" s="1540">
        <f>OKŠT!I38</f>
        <v>0</v>
      </c>
    </row>
    <row r="48" spans="1:10" s="1311" customFormat="1" ht="15" customHeight="1">
      <c r="A48" s="1310" t="s">
        <v>919</v>
      </c>
      <c r="B48" s="1508" t="s">
        <v>887</v>
      </c>
      <c r="C48" s="1536" t="s">
        <v>1129</v>
      </c>
      <c r="D48" s="1537">
        <v>25</v>
      </c>
      <c r="E48" s="1538" t="s">
        <v>126</v>
      </c>
      <c r="F48" s="201" t="s">
        <v>1116</v>
      </c>
      <c r="G48" s="1539">
        <f>OKŠT!F39</f>
        <v>250</v>
      </c>
      <c r="H48" s="1539">
        <f>OKŠT!G39</f>
        <v>350</v>
      </c>
      <c r="I48" s="1540">
        <f>OKŠT!H39</f>
        <v>250</v>
      </c>
      <c r="J48" s="1540">
        <f>OKŠT!I39</f>
        <v>250</v>
      </c>
    </row>
    <row r="49" spans="1:10" s="1311" customFormat="1" ht="15" customHeight="1">
      <c r="A49" s="1310" t="s">
        <v>921</v>
      </c>
      <c r="B49" s="1508" t="s">
        <v>887</v>
      </c>
      <c r="C49" s="1536" t="s">
        <v>1129</v>
      </c>
      <c r="D49" s="1537">
        <v>25</v>
      </c>
      <c r="E49" s="1538" t="s">
        <v>126</v>
      </c>
      <c r="F49" s="201" t="s">
        <v>1122</v>
      </c>
      <c r="G49" s="1539">
        <f>OKŠT!F40</f>
        <v>500</v>
      </c>
      <c r="H49" s="1539">
        <f>OKŠT!G40</f>
        <v>500</v>
      </c>
      <c r="I49" s="1540">
        <f>OKŠT!H40</f>
        <v>350</v>
      </c>
      <c r="J49" s="1540">
        <f>OKŠT!I40</f>
        <v>350</v>
      </c>
    </row>
    <row r="50" spans="1:10" s="1311" customFormat="1" ht="15" customHeight="1">
      <c r="A50" s="1310" t="s">
        <v>922</v>
      </c>
      <c r="B50" s="1508" t="s">
        <v>887</v>
      </c>
      <c r="C50" s="1536" t="s">
        <v>1129</v>
      </c>
      <c r="D50" s="1537">
        <v>25</v>
      </c>
      <c r="E50" s="1538" t="s">
        <v>126</v>
      </c>
      <c r="F50" s="201" t="s">
        <v>1121</v>
      </c>
      <c r="G50" s="1539">
        <f>OKŠT!F41</f>
        <v>300</v>
      </c>
      <c r="H50" s="1539">
        <f>OKŠT!G41</f>
        <v>500</v>
      </c>
      <c r="I50" s="1540">
        <f>OKŠT!H41</f>
        <v>300</v>
      </c>
      <c r="J50" s="1540">
        <f>OKŠT!I41</f>
        <v>300</v>
      </c>
    </row>
    <row r="51" spans="1:10" s="1311" customFormat="1" ht="15" customHeight="1">
      <c r="A51" s="1310" t="s">
        <v>925</v>
      </c>
      <c r="B51" s="1508" t="s">
        <v>924</v>
      </c>
      <c r="C51" s="1536" t="s">
        <v>1129</v>
      </c>
      <c r="D51" s="1537">
        <v>25</v>
      </c>
      <c r="E51" s="1538" t="s">
        <v>126</v>
      </c>
      <c r="F51" s="201" t="s">
        <v>1117</v>
      </c>
      <c r="G51" s="1539">
        <f>OKŠT!F42</f>
        <v>8000</v>
      </c>
      <c r="H51" s="1539">
        <f>OKŠT!G42</f>
        <v>8000</v>
      </c>
      <c r="I51" s="1540">
        <f>OKŠT!H42</f>
        <v>7000</v>
      </c>
      <c r="J51" s="1540">
        <f>OKŠT!I42</f>
        <v>7000</v>
      </c>
    </row>
    <row r="52" spans="1:10" s="1311" customFormat="1" ht="15" customHeight="1">
      <c r="A52" s="1310" t="s">
        <v>927</v>
      </c>
      <c r="B52" s="1508">
        <v>3313</v>
      </c>
      <c r="C52" s="1536" t="s">
        <v>1129</v>
      </c>
      <c r="D52" s="1537">
        <v>25</v>
      </c>
      <c r="E52" s="1538" t="s">
        <v>126</v>
      </c>
      <c r="F52" s="201" t="s">
        <v>1120</v>
      </c>
      <c r="G52" s="1539">
        <f>OKŠT!F43</f>
        <v>500</v>
      </c>
      <c r="H52" s="1539">
        <f>OKŠT!G43</f>
        <v>500</v>
      </c>
      <c r="I52" s="1540">
        <f>OKŠT!H43</f>
        <v>400</v>
      </c>
      <c r="J52" s="1540">
        <f>OKŠT!I43</f>
        <v>400</v>
      </c>
    </row>
    <row r="53" spans="1:10" s="1311" customFormat="1" ht="15" customHeight="1">
      <c r="A53" s="1310" t="s">
        <v>929</v>
      </c>
      <c r="B53" s="1508" t="s">
        <v>705</v>
      </c>
      <c r="C53" s="1536" t="s">
        <v>1129</v>
      </c>
      <c r="D53" s="1537">
        <v>25</v>
      </c>
      <c r="E53" s="1538" t="s">
        <v>126</v>
      </c>
      <c r="F53" s="201" t="s">
        <v>1119</v>
      </c>
      <c r="G53" s="1539">
        <f>OKŠT!F44</f>
        <v>600</v>
      </c>
      <c r="H53" s="1539">
        <f>OKŠT!G44</f>
        <v>600</v>
      </c>
      <c r="I53" s="1540">
        <f>OKŠT!H44</f>
        <v>0</v>
      </c>
      <c r="J53" s="1540">
        <f>OKŠT!I44</f>
        <v>0</v>
      </c>
    </row>
    <row r="54" spans="1:10" s="1311" customFormat="1" ht="15" customHeight="1">
      <c r="A54" s="1310" t="s">
        <v>931</v>
      </c>
      <c r="B54" s="1508" t="s">
        <v>705</v>
      </c>
      <c r="C54" s="1536" t="s">
        <v>1129</v>
      </c>
      <c r="D54" s="1537">
        <v>25</v>
      </c>
      <c r="E54" s="1538" t="s">
        <v>126</v>
      </c>
      <c r="F54" s="201" t="s">
        <v>932</v>
      </c>
      <c r="G54" s="1539">
        <f>OKŠT!F45</f>
        <v>400</v>
      </c>
      <c r="H54" s="1539">
        <f>OKŠT!G45</f>
        <v>400</v>
      </c>
      <c r="I54" s="1540">
        <f>OKŠT!H45</f>
        <v>350</v>
      </c>
      <c r="J54" s="1540">
        <f>OKŠT!I45</f>
        <v>350</v>
      </c>
    </row>
    <row r="55" spans="1:10" s="1311" customFormat="1">
      <c r="A55" s="1310" t="s">
        <v>933</v>
      </c>
      <c r="B55" s="1508" t="s">
        <v>260</v>
      </c>
      <c r="C55" s="1536" t="s">
        <v>1130</v>
      </c>
      <c r="D55" s="1537">
        <v>25</v>
      </c>
      <c r="E55" s="1538" t="s">
        <v>126</v>
      </c>
      <c r="F55" s="201" t="s">
        <v>934</v>
      </c>
      <c r="G55" s="1539">
        <f>OKŠT!F46</f>
        <v>360</v>
      </c>
      <c r="H55" s="1539">
        <f>OKŠT!G46</f>
        <v>360</v>
      </c>
      <c r="I55" s="1540">
        <f>OKŠT!H46</f>
        <v>360</v>
      </c>
      <c r="J55" s="1540">
        <f>OKŠT!I46</f>
        <v>360</v>
      </c>
    </row>
    <row r="56" spans="1:10" s="1311" customFormat="1">
      <c r="A56" s="1312" t="s">
        <v>1126</v>
      </c>
      <c r="B56" s="1508">
        <v>3329</v>
      </c>
      <c r="C56" s="1536" t="s">
        <v>1129</v>
      </c>
      <c r="D56" s="1537">
        <v>25</v>
      </c>
      <c r="E56" s="1538" t="s">
        <v>126</v>
      </c>
      <c r="F56" s="201" t="s">
        <v>1118</v>
      </c>
      <c r="G56" s="1539">
        <f>OKŠT!F67</f>
        <v>7990</v>
      </c>
      <c r="H56" s="1539">
        <f>OKŠT!G67</f>
        <v>8359.5824400000001</v>
      </c>
      <c r="I56" s="1540">
        <f>OKŠT!H67</f>
        <v>5415</v>
      </c>
      <c r="J56" s="1540">
        <f>OKŠT!I67</f>
        <v>6480</v>
      </c>
    </row>
    <row r="57" spans="1:10" s="1311" customFormat="1">
      <c r="A57" s="1310">
        <v>260</v>
      </c>
      <c r="B57" s="1508">
        <v>3429</v>
      </c>
      <c r="C57" s="1536" t="s">
        <v>1130</v>
      </c>
      <c r="D57" s="1537">
        <v>25</v>
      </c>
      <c r="E57" s="1538" t="s">
        <v>126</v>
      </c>
      <c r="F57" s="201" t="s">
        <v>1124</v>
      </c>
      <c r="G57" s="1539">
        <f>OKŠT!F78</f>
        <v>300</v>
      </c>
      <c r="H57" s="1539">
        <f>OKŠT!G78</f>
        <v>210</v>
      </c>
      <c r="I57" s="1540">
        <f>OKŠT!H78</f>
        <v>260</v>
      </c>
      <c r="J57" s="1540">
        <f>OKŠT!I78</f>
        <v>260</v>
      </c>
    </row>
    <row r="58" spans="1:10" s="1311" customFormat="1">
      <c r="A58" s="1310">
        <v>267</v>
      </c>
      <c r="B58" s="1508">
        <v>3314</v>
      </c>
      <c r="C58" s="1536" t="s">
        <v>1129</v>
      </c>
      <c r="D58" s="1537">
        <v>25</v>
      </c>
      <c r="E58" s="1538" t="s">
        <v>126</v>
      </c>
      <c r="F58" s="201" t="s">
        <v>1125</v>
      </c>
      <c r="G58" s="1539">
        <f>OKŠT!F92</f>
        <v>2345</v>
      </c>
      <c r="H58" s="1539">
        <f>OKŠT!G92</f>
        <v>2344.1616800000002</v>
      </c>
      <c r="I58" s="1540">
        <f>OKŠT!H92</f>
        <v>2270</v>
      </c>
      <c r="J58" s="1540">
        <f>OKŠT!I92</f>
        <v>2270</v>
      </c>
    </row>
    <row r="59" spans="1:10" s="1311" customFormat="1">
      <c r="A59" s="1310" t="s">
        <v>1127</v>
      </c>
      <c r="B59" s="1508">
        <v>3419</v>
      </c>
      <c r="C59" s="1536" t="s">
        <v>1130</v>
      </c>
      <c r="D59" s="1537">
        <v>25</v>
      </c>
      <c r="E59" s="1538" t="s">
        <v>126</v>
      </c>
      <c r="F59" s="201" t="s">
        <v>988</v>
      </c>
      <c r="G59" s="1539">
        <f>OKŠT!F108</f>
        <v>21795</v>
      </c>
      <c r="H59" s="1539">
        <f>OKŠT!G108</f>
        <v>23130</v>
      </c>
      <c r="I59" s="1540">
        <f>OKŠT!H108</f>
        <v>12440</v>
      </c>
      <c r="J59" s="1540">
        <f>OKŠT!I108</f>
        <v>12440</v>
      </c>
    </row>
    <row r="60" spans="1:10" s="1311" customFormat="1">
      <c r="A60" s="1313">
        <v>2615</v>
      </c>
      <c r="B60" s="1511">
        <v>3419</v>
      </c>
      <c r="C60" s="1536" t="s">
        <v>1130</v>
      </c>
      <c r="D60" s="1537">
        <v>25</v>
      </c>
      <c r="E60" s="1538" t="s">
        <v>126</v>
      </c>
      <c r="F60" s="201" t="s">
        <v>992</v>
      </c>
      <c r="G60" s="1539">
        <f>OKŠT!F112</f>
        <v>4500</v>
      </c>
      <c r="H60" s="1539">
        <f>OKŠT!G112</f>
        <v>4830</v>
      </c>
      <c r="I60" s="1540">
        <f>OKŠT!H112</f>
        <v>2500</v>
      </c>
      <c r="J60" s="1540">
        <f>OKŠT!I112</f>
        <v>2500</v>
      </c>
    </row>
    <row r="61" spans="1:10" s="1311" customFormat="1">
      <c r="A61" s="1313">
        <v>2614</v>
      </c>
      <c r="B61" s="1511">
        <v>3419</v>
      </c>
      <c r="C61" s="1536" t="s">
        <v>1130</v>
      </c>
      <c r="D61" s="1537">
        <v>25</v>
      </c>
      <c r="E61" s="1538" t="s">
        <v>126</v>
      </c>
      <c r="F61" s="201" t="s">
        <v>1017</v>
      </c>
      <c r="G61" s="1539">
        <f>OKŠT!F133</f>
        <v>5805</v>
      </c>
      <c r="H61" s="1539">
        <f>OKŠT!G133</f>
        <v>13635</v>
      </c>
      <c r="I61" s="1540">
        <f>OKŠT!H133</f>
        <v>4940</v>
      </c>
      <c r="J61" s="1540">
        <f>OKŠT!I133</f>
        <v>6427</v>
      </c>
    </row>
    <row r="62" spans="1:10" s="1311" customFormat="1">
      <c r="A62" s="1313">
        <v>4031</v>
      </c>
      <c r="B62" s="1511">
        <v>3412</v>
      </c>
      <c r="C62" s="1536" t="s">
        <v>1130</v>
      </c>
      <c r="D62" s="1537">
        <v>25</v>
      </c>
      <c r="E62" s="1538" t="s">
        <v>126</v>
      </c>
      <c r="F62" s="201" t="s">
        <v>1018</v>
      </c>
      <c r="G62" s="1539">
        <f>OKŠT!F134</f>
        <v>17500</v>
      </c>
      <c r="H62" s="1539">
        <f>OKŠT!G134</f>
        <v>19600</v>
      </c>
      <c r="I62" s="1540">
        <f>OKŠT!H134</f>
        <v>26300</v>
      </c>
      <c r="J62" s="1540">
        <f>OKŠT!I134</f>
        <v>26300</v>
      </c>
    </row>
    <row r="63" spans="1:10" s="1311" customFormat="1" ht="15.75" customHeight="1">
      <c r="A63" s="1313">
        <v>4031</v>
      </c>
      <c r="B63" s="1511">
        <v>3412</v>
      </c>
      <c r="C63" s="1536" t="s">
        <v>1130</v>
      </c>
      <c r="D63" s="1537">
        <v>25</v>
      </c>
      <c r="E63" s="1538" t="s">
        <v>126</v>
      </c>
      <c r="F63" s="201" t="s">
        <v>1020</v>
      </c>
      <c r="G63" s="1539">
        <f>OKŠT!F135</f>
        <v>700</v>
      </c>
      <c r="H63" s="1539">
        <f>OKŠT!G135</f>
        <v>0</v>
      </c>
      <c r="I63" s="1540">
        <f>OKŠT!H135</f>
        <v>0</v>
      </c>
      <c r="J63" s="1540">
        <f>OKŠT!I135</f>
        <v>0</v>
      </c>
    </row>
    <row r="64" spans="1:10" s="1311" customFormat="1">
      <c r="A64" s="1313">
        <v>2614</v>
      </c>
      <c r="B64" s="1511">
        <v>3419</v>
      </c>
      <c r="C64" s="1536" t="s">
        <v>1130</v>
      </c>
      <c r="D64" s="1537">
        <v>25</v>
      </c>
      <c r="E64" s="1538" t="s">
        <v>126</v>
      </c>
      <c r="F64" s="201" t="s">
        <v>1024</v>
      </c>
      <c r="G64" s="1539">
        <f>OKŠT!F138</f>
        <v>100</v>
      </c>
      <c r="H64" s="1539">
        <f>OKŠT!G138</f>
        <v>100</v>
      </c>
      <c r="I64" s="1540">
        <f>OKŠT!H138</f>
        <v>100</v>
      </c>
      <c r="J64" s="1540">
        <f>OKŠT!I138</f>
        <v>100</v>
      </c>
    </row>
    <row r="65" spans="1:10" s="1311" customFormat="1">
      <c r="A65" s="1313" t="s">
        <v>960</v>
      </c>
      <c r="B65" s="1511" t="s">
        <v>176</v>
      </c>
      <c r="C65" s="1536" t="s">
        <v>1180</v>
      </c>
      <c r="D65" s="1537">
        <v>25</v>
      </c>
      <c r="E65" s="1538" t="s">
        <v>126</v>
      </c>
      <c r="F65" s="201" t="s">
        <v>1026</v>
      </c>
      <c r="G65" s="1539">
        <f>OKŠT!F140</f>
        <v>665</v>
      </c>
      <c r="H65" s="1539">
        <f>OKŠT!G140</f>
        <v>665</v>
      </c>
      <c r="I65" s="1540">
        <f>OKŠT!H140</f>
        <v>672</v>
      </c>
      <c r="J65" s="1540">
        <f>OKŠT!I140</f>
        <v>672</v>
      </c>
    </row>
    <row r="66" spans="1:10" s="1311" customFormat="1">
      <c r="A66" s="1313" t="s">
        <v>904</v>
      </c>
      <c r="B66" s="1511" t="s">
        <v>176</v>
      </c>
      <c r="C66" s="1536" t="s">
        <v>1180</v>
      </c>
      <c r="D66" s="1537">
        <v>25</v>
      </c>
      <c r="E66" s="1538" t="s">
        <v>126</v>
      </c>
      <c r="F66" s="201" t="s">
        <v>1027</v>
      </c>
      <c r="G66" s="1539">
        <f>OKŠT!F141</f>
        <v>3755</v>
      </c>
      <c r="H66" s="1539">
        <f>OKŠT!G141</f>
        <v>3755</v>
      </c>
      <c r="I66" s="1540">
        <f>OKŠT!H141</f>
        <v>3567</v>
      </c>
      <c r="J66" s="1540">
        <f>OKŠT!I141</f>
        <v>3567</v>
      </c>
    </row>
    <row r="67" spans="1:10" s="1311" customFormat="1" ht="25.5">
      <c r="A67" s="1313" t="s">
        <v>904</v>
      </c>
      <c r="B67" s="1511" t="s">
        <v>176</v>
      </c>
      <c r="C67" s="1536" t="s">
        <v>1180</v>
      </c>
      <c r="D67" s="1537">
        <v>25</v>
      </c>
      <c r="E67" s="1538" t="s">
        <v>126</v>
      </c>
      <c r="F67" s="201" t="s">
        <v>1028</v>
      </c>
      <c r="G67" s="1539">
        <f>OKŠT!F142</f>
        <v>0</v>
      </c>
      <c r="H67" s="1539">
        <f>OKŠT!G142</f>
        <v>500.10064</v>
      </c>
      <c r="I67" s="1540">
        <f>OKŠT!H142</f>
        <v>0</v>
      </c>
      <c r="J67" s="1540">
        <f>OKŠT!I142</f>
        <v>0</v>
      </c>
    </row>
    <row r="68" spans="1:10" s="1311" customFormat="1">
      <c r="A68" s="1313" t="s">
        <v>1029</v>
      </c>
      <c r="B68" s="1511" t="s">
        <v>176</v>
      </c>
      <c r="C68" s="1536" t="s">
        <v>1180</v>
      </c>
      <c r="D68" s="1537">
        <v>25</v>
      </c>
      <c r="E68" s="1538" t="s">
        <v>126</v>
      </c>
      <c r="F68" s="201" t="s">
        <v>1030</v>
      </c>
      <c r="G68" s="1539">
        <f>OKŠT!F143</f>
        <v>2550</v>
      </c>
      <c r="H68" s="1539">
        <f>OKŠT!G143</f>
        <v>2550</v>
      </c>
      <c r="I68" s="1540">
        <f>OKŠT!H143</f>
        <v>2290</v>
      </c>
      <c r="J68" s="1540">
        <f>OKŠT!I143</f>
        <v>2290</v>
      </c>
    </row>
    <row r="69" spans="1:10" s="1311" customFormat="1">
      <c r="A69" s="1313" t="s">
        <v>1029</v>
      </c>
      <c r="B69" s="1511">
        <v>3113</v>
      </c>
      <c r="C69" s="1536" t="s">
        <v>1180</v>
      </c>
      <c r="D69" s="1537">
        <v>25</v>
      </c>
      <c r="E69" s="1538" t="s">
        <v>126</v>
      </c>
      <c r="F69" s="201" t="s">
        <v>1031</v>
      </c>
      <c r="G69" s="1539">
        <f>OKŠT!F144</f>
        <v>0</v>
      </c>
      <c r="H69" s="1539">
        <f>OKŠT!G144</f>
        <v>238.67008999999999</v>
      </c>
      <c r="I69" s="1540">
        <f>OKŠT!H144</f>
        <v>0</v>
      </c>
      <c r="J69" s="1540">
        <f>OKŠT!I144</f>
        <v>0</v>
      </c>
    </row>
    <row r="70" spans="1:10" s="1311" customFormat="1">
      <c r="A70" s="1313" t="s">
        <v>1032</v>
      </c>
      <c r="B70" s="1511" t="s">
        <v>176</v>
      </c>
      <c r="C70" s="1536" t="s">
        <v>1180</v>
      </c>
      <c r="D70" s="1537">
        <v>25</v>
      </c>
      <c r="E70" s="1538" t="s">
        <v>126</v>
      </c>
      <c r="F70" s="201" t="s">
        <v>1033</v>
      </c>
      <c r="G70" s="1539">
        <f>OKŠT!F145</f>
        <v>3149</v>
      </c>
      <c r="H70" s="1539">
        <f>OKŠT!G145</f>
        <v>3149</v>
      </c>
      <c r="I70" s="1540">
        <f>OKŠT!H145</f>
        <v>2900</v>
      </c>
      <c r="J70" s="1540">
        <f>OKŠT!I145</f>
        <v>2900</v>
      </c>
    </row>
    <row r="71" spans="1:10" s="1311" customFormat="1">
      <c r="A71" s="1313" t="s">
        <v>1032</v>
      </c>
      <c r="B71" s="1511" t="s">
        <v>176</v>
      </c>
      <c r="C71" s="1536" t="s">
        <v>1180</v>
      </c>
      <c r="D71" s="1537">
        <v>25</v>
      </c>
      <c r="E71" s="1538" t="s">
        <v>126</v>
      </c>
      <c r="F71" s="201" t="s">
        <v>1034</v>
      </c>
      <c r="G71" s="1539">
        <f>OKŠT!F146</f>
        <v>0</v>
      </c>
      <c r="H71" s="1539">
        <f>OKŠT!G146</f>
        <v>887.49919</v>
      </c>
      <c r="I71" s="1540">
        <f>OKŠT!H146</f>
        <v>0</v>
      </c>
      <c r="J71" s="1540">
        <f>OKŠT!I146</f>
        <v>0</v>
      </c>
    </row>
    <row r="72" spans="1:10" s="1311" customFormat="1">
      <c r="A72" s="1313" t="s">
        <v>1009</v>
      </c>
      <c r="B72" s="1511" t="s">
        <v>176</v>
      </c>
      <c r="C72" s="1536" t="s">
        <v>1180</v>
      </c>
      <c r="D72" s="1537">
        <v>25</v>
      </c>
      <c r="E72" s="1538" t="s">
        <v>126</v>
      </c>
      <c r="F72" s="201" t="s">
        <v>1035</v>
      </c>
      <c r="G72" s="1539">
        <f>OKŠT!F147</f>
        <v>4000</v>
      </c>
      <c r="H72" s="1539">
        <f>OKŠT!G147</f>
        <v>4000</v>
      </c>
      <c r="I72" s="1540">
        <f>OKŠT!H147</f>
        <v>3800</v>
      </c>
      <c r="J72" s="1540">
        <f>OKŠT!I147</f>
        <v>3800</v>
      </c>
    </row>
    <row r="73" spans="1:10" s="1311" customFormat="1">
      <c r="A73" s="1313" t="s">
        <v>178</v>
      </c>
      <c r="B73" s="1511" t="s">
        <v>176</v>
      </c>
      <c r="C73" s="1536" t="s">
        <v>1180</v>
      </c>
      <c r="D73" s="1537">
        <v>25</v>
      </c>
      <c r="E73" s="1538" t="s">
        <v>126</v>
      </c>
      <c r="F73" s="201" t="s">
        <v>1036</v>
      </c>
      <c r="G73" s="1539">
        <f>OKŠT!F148</f>
        <v>4685</v>
      </c>
      <c r="H73" s="1539">
        <f>OKŠT!G148</f>
        <v>4685</v>
      </c>
      <c r="I73" s="1540">
        <f>OKŠT!H148</f>
        <v>4450</v>
      </c>
      <c r="J73" s="1540">
        <f>OKŠT!I148</f>
        <v>4450</v>
      </c>
    </row>
    <row r="74" spans="1:10" s="1311" customFormat="1">
      <c r="A74" s="1313" t="s">
        <v>178</v>
      </c>
      <c r="B74" s="1511" t="s">
        <v>176</v>
      </c>
      <c r="C74" s="1536" t="s">
        <v>1180</v>
      </c>
      <c r="D74" s="1537">
        <v>25</v>
      </c>
      <c r="E74" s="1538" t="s">
        <v>126</v>
      </c>
      <c r="F74" s="201" t="s">
        <v>1037</v>
      </c>
      <c r="G74" s="1539">
        <f>OKŠT!F149</f>
        <v>0</v>
      </c>
      <c r="H74" s="1539">
        <f>OKŠT!G149</f>
        <v>595.77701999999999</v>
      </c>
      <c r="I74" s="1540">
        <f>OKŠT!H149</f>
        <v>0</v>
      </c>
      <c r="J74" s="1540">
        <f>OKŠT!I149</f>
        <v>0</v>
      </c>
    </row>
    <row r="75" spans="1:10" s="1311" customFormat="1">
      <c r="A75" s="1313" t="s">
        <v>962</v>
      </c>
      <c r="B75" s="1511" t="s">
        <v>176</v>
      </c>
      <c r="C75" s="1536" t="s">
        <v>1180</v>
      </c>
      <c r="D75" s="1537">
        <v>25</v>
      </c>
      <c r="E75" s="1538" t="s">
        <v>126</v>
      </c>
      <c r="F75" s="201" t="s">
        <v>1038</v>
      </c>
      <c r="G75" s="1539">
        <f>OKŠT!F150</f>
        <v>4100</v>
      </c>
      <c r="H75" s="1539">
        <f>OKŠT!G150</f>
        <v>4100</v>
      </c>
      <c r="I75" s="1540">
        <f>OKŠT!H150</f>
        <v>4000</v>
      </c>
      <c r="J75" s="1540">
        <f>OKŠT!I150</f>
        <v>4000</v>
      </c>
    </row>
    <row r="76" spans="1:10" s="1311" customFormat="1">
      <c r="A76" s="1313" t="s">
        <v>962</v>
      </c>
      <c r="B76" s="1511" t="s">
        <v>176</v>
      </c>
      <c r="C76" s="1536" t="s">
        <v>1180</v>
      </c>
      <c r="D76" s="1537">
        <v>25</v>
      </c>
      <c r="E76" s="1538" t="s">
        <v>126</v>
      </c>
      <c r="F76" s="201" t="s">
        <v>1039</v>
      </c>
      <c r="G76" s="1539">
        <f>OKŠT!F151</f>
        <v>0</v>
      </c>
      <c r="H76" s="1539">
        <f>OKŠT!G151</f>
        <v>6</v>
      </c>
      <c r="I76" s="1540">
        <f>OKŠT!H151</f>
        <v>0</v>
      </c>
      <c r="J76" s="1540">
        <f>OKŠT!I151</f>
        <v>0</v>
      </c>
    </row>
    <row r="77" spans="1:10" s="1311" customFormat="1">
      <c r="A77" s="1313" t="s">
        <v>964</v>
      </c>
      <c r="B77" s="1511" t="s">
        <v>176</v>
      </c>
      <c r="C77" s="1536" t="s">
        <v>1180</v>
      </c>
      <c r="D77" s="1537">
        <v>25</v>
      </c>
      <c r="E77" s="1538" t="s">
        <v>126</v>
      </c>
      <c r="F77" s="201" t="s">
        <v>1040</v>
      </c>
      <c r="G77" s="1539">
        <f>OKŠT!F152</f>
        <v>4895</v>
      </c>
      <c r="H77" s="1539">
        <f>OKŠT!G152</f>
        <v>4895</v>
      </c>
      <c r="I77" s="1540">
        <f>OKŠT!H152</f>
        <v>4800</v>
      </c>
      <c r="J77" s="1540">
        <f>OKŠT!I152</f>
        <v>4800</v>
      </c>
    </row>
    <row r="78" spans="1:10" s="1311" customFormat="1">
      <c r="A78" s="1313" t="s">
        <v>964</v>
      </c>
      <c r="B78" s="1511" t="s">
        <v>176</v>
      </c>
      <c r="C78" s="1536" t="s">
        <v>1180</v>
      </c>
      <c r="D78" s="1537">
        <v>25</v>
      </c>
      <c r="E78" s="1538" t="s">
        <v>126</v>
      </c>
      <c r="F78" s="201" t="s">
        <v>1041</v>
      </c>
      <c r="G78" s="1539">
        <f>OKŠT!F153</f>
        <v>0</v>
      </c>
      <c r="H78" s="1539">
        <f>OKŠT!G153</f>
        <v>3.5</v>
      </c>
      <c r="I78" s="1540">
        <f>OKŠT!H153</f>
        <v>0</v>
      </c>
      <c r="J78" s="1540">
        <f>OKŠT!I153</f>
        <v>0</v>
      </c>
    </row>
    <row r="79" spans="1:10" s="1311" customFormat="1">
      <c r="A79" s="1313" t="s">
        <v>1042</v>
      </c>
      <c r="B79" s="1511" t="s">
        <v>176</v>
      </c>
      <c r="C79" s="1536" t="s">
        <v>1180</v>
      </c>
      <c r="D79" s="1537">
        <v>25</v>
      </c>
      <c r="E79" s="1538" t="s">
        <v>126</v>
      </c>
      <c r="F79" s="201" t="s">
        <v>1043</v>
      </c>
      <c r="G79" s="1539">
        <f>OKŠT!F154</f>
        <v>6600</v>
      </c>
      <c r="H79" s="1539">
        <f>OKŠT!G154</f>
        <v>6600</v>
      </c>
      <c r="I79" s="1540">
        <f>OKŠT!H154</f>
        <v>6400</v>
      </c>
      <c r="J79" s="1540">
        <f>OKŠT!I154</f>
        <v>6400</v>
      </c>
    </row>
    <row r="80" spans="1:10" s="1311" customFormat="1">
      <c r="A80" s="1313" t="s">
        <v>1042</v>
      </c>
      <c r="B80" s="1511" t="s">
        <v>176</v>
      </c>
      <c r="C80" s="1536" t="s">
        <v>1180</v>
      </c>
      <c r="D80" s="1537">
        <v>25</v>
      </c>
      <c r="E80" s="1538" t="s">
        <v>126</v>
      </c>
      <c r="F80" s="201" t="s">
        <v>1128</v>
      </c>
      <c r="G80" s="1539">
        <f>OKŠT!F155</f>
        <v>0</v>
      </c>
      <c r="H80" s="1539">
        <f>OKŠT!G155</f>
        <v>632.65059999999994</v>
      </c>
      <c r="I80" s="1540">
        <f>OKŠT!H155</f>
        <v>0</v>
      </c>
      <c r="J80" s="1540">
        <f>OKŠT!I155</f>
        <v>0</v>
      </c>
    </row>
    <row r="81" spans="1:10" s="1311" customFormat="1" ht="15" customHeight="1">
      <c r="A81" s="1313" t="s">
        <v>1042</v>
      </c>
      <c r="B81" s="1511" t="s">
        <v>176</v>
      </c>
      <c r="C81" s="1536" t="s">
        <v>1180</v>
      </c>
      <c r="D81" s="1537">
        <v>25</v>
      </c>
      <c r="E81" s="1538" t="s">
        <v>126</v>
      </c>
      <c r="F81" s="201" t="s">
        <v>1045</v>
      </c>
      <c r="G81" s="1539">
        <f>OKŠT!F156</f>
        <v>0</v>
      </c>
      <c r="H81" s="1539">
        <f>OKŠT!G156</f>
        <v>95.825699999999998</v>
      </c>
      <c r="I81" s="1540">
        <f>OKŠT!H156</f>
        <v>0</v>
      </c>
      <c r="J81" s="1540">
        <f>OKŠT!I156</f>
        <v>0</v>
      </c>
    </row>
    <row r="82" spans="1:10" s="1311" customFormat="1">
      <c r="A82" s="1559" t="s">
        <v>906</v>
      </c>
      <c r="B82" s="1560" t="s">
        <v>176</v>
      </c>
      <c r="C82" s="1547" t="s">
        <v>1180</v>
      </c>
      <c r="D82" s="1548">
        <v>25</v>
      </c>
      <c r="E82" s="1561" t="s">
        <v>126</v>
      </c>
      <c r="F82" s="1524" t="s">
        <v>1046</v>
      </c>
      <c r="G82" s="1550">
        <f>OKŠT!F157</f>
        <v>4995</v>
      </c>
      <c r="H82" s="1550">
        <f>OKŠT!G157</f>
        <v>4995</v>
      </c>
      <c r="I82" s="1551">
        <f>OKŠT!H157</f>
        <v>4880</v>
      </c>
      <c r="J82" s="1551">
        <f>OKŠT!I157</f>
        <v>4880</v>
      </c>
    </row>
    <row r="83" spans="1:10" s="1311" customFormat="1">
      <c r="A83" s="1313" t="s">
        <v>906</v>
      </c>
      <c r="B83" s="1511" t="s">
        <v>176</v>
      </c>
      <c r="C83" s="1536" t="s">
        <v>1180</v>
      </c>
      <c r="D83" s="1537">
        <v>25</v>
      </c>
      <c r="E83" s="1538" t="s">
        <v>126</v>
      </c>
      <c r="F83" s="201" t="s">
        <v>1047</v>
      </c>
      <c r="G83" s="1539">
        <f>OKŠT!F158</f>
        <v>0</v>
      </c>
      <c r="H83" s="1539">
        <f>OKŠT!G158</f>
        <v>2.5</v>
      </c>
      <c r="I83" s="1540">
        <f>OKŠT!H158</f>
        <v>0</v>
      </c>
      <c r="J83" s="1540">
        <f>OKŠT!I158</f>
        <v>0</v>
      </c>
    </row>
    <row r="84" spans="1:10" s="1311" customFormat="1">
      <c r="A84" s="1562" t="s">
        <v>181</v>
      </c>
      <c r="B84" s="1563" t="s">
        <v>180</v>
      </c>
      <c r="C84" s="1543" t="s">
        <v>1180</v>
      </c>
      <c r="D84" s="1544">
        <v>25</v>
      </c>
      <c r="E84" s="1564" t="s">
        <v>126</v>
      </c>
      <c r="F84" s="1523" t="s">
        <v>1048</v>
      </c>
      <c r="G84" s="1545">
        <f>OKŠT!F159</f>
        <v>6208</v>
      </c>
      <c r="H84" s="1545">
        <f>OKŠT!G159</f>
        <v>6208</v>
      </c>
      <c r="I84" s="1546">
        <f>OKŠT!H159</f>
        <v>5970</v>
      </c>
      <c r="J84" s="1546">
        <f>OKŠT!I159</f>
        <v>5970</v>
      </c>
    </row>
    <row r="85" spans="1:10" s="1311" customFormat="1">
      <c r="A85" s="1313" t="s">
        <v>958</v>
      </c>
      <c r="B85" s="1511" t="s">
        <v>180</v>
      </c>
      <c r="C85" s="1536" t="s">
        <v>1180</v>
      </c>
      <c r="D85" s="1537">
        <v>25</v>
      </c>
      <c r="E85" s="1538" t="s">
        <v>126</v>
      </c>
      <c r="F85" s="201" t="s">
        <v>1049</v>
      </c>
      <c r="G85" s="1539">
        <f>OKŠT!F160</f>
        <v>7190</v>
      </c>
      <c r="H85" s="1539">
        <f>OKŠT!G160</f>
        <v>7190</v>
      </c>
      <c r="I85" s="1540">
        <f>OKŠT!H160</f>
        <v>6830</v>
      </c>
      <c r="J85" s="1540">
        <f>OKŠT!I160</f>
        <v>6830</v>
      </c>
    </row>
    <row r="86" spans="1:10" s="1311" customFormat="1">
      <c r="A86" s="1313" t="s">
        <v>1050</v>
      </c>
      <c r="B86" s="1511">
        <v>3119</v>
      </c>
      <c r="C86" s="1536" t="s">
        <v>1180</v>
      </c>
      <c r="D86" s="1537">
        <v>25</v>
      </c>
      <c r="E86" s="1538" t="s">
        <v>126</v>
      </c>
      <c r="F86" s="201" t="s">
        <v>1051</v>
      </c>
      <c r="G86" s="1539">
        <f>OKŠT!F161</f>
        <v>200</v>
      </c>
      <c r="H86" s="1539">
        <f>OKŠT!G161</f>
        <v>200</v>
      </c>
      <c r="I86" s="1540">
        <f>OKŠT!H161</f>
        <v>10</v>
      </c>
      <c r="J86" s="1540">
        <f>OKŠT!I161</f>
        <v>10</v>
      </c>
    </row>
    <row r="87" spans="1:10" s="1311" customFormat="1">
      <c r="A87" s="1313">
        <v>4031</v>
      </c>
      <c r="B87" s="1511">
        <v>3412</v>
      </c>
      <c r="C87" s="1536" t="s">
        <v>1130</v>
      </c>
      <c r="D87" s="1537">
        <v>25</v>
      </c>
      <c r="E87" s="1541" t="s">
        <v>136</v>
      </c>
      <c r="F87" s="201" t="s">
        <v>1052</v>
      </c>
      <c r="G87" s="1539">
        <f>OKŠT!F171</f>
        <v>0</v>
      </c>
      <c r="H87" s="1539">
        <f>OKŠT!G171</f>
        <v>800</v>
      </c>
      <c r="I87" s="1540">
        <f>OKŠT!H171</f>
        <v>4300</v>
      </c>
      <c r="J87" s="1540">
        <f>OKŠT!I171</f>
        <v>4300</v>
      </c>
    </row>
    <row r="88" spans="1:10" s="1311" customFormat="1">
      <c r="A88" s="1313">
        <v>1425</v>
      </c>
      <c r="B88" s="1511">
        <v>3419</v>
      </c>
      <c r="C88" s="1536" t="s">
        <v>1130</v>
      </c>
      <c r="D88" s="1537">
        <v>25</v>
      </c>
      <c r="E88" s="1541" t="s">
        <v>136</v>
      </c>
      <c r="F88" s="201" t="s">
        <v>1053</v>
      </c>
      <c r="G88" s="1539">
        <f>OKŠT!F172</f>
        <v>0</v>
      </c>
      <c r="H88" s="1539">
        <f>OKŠT!G172</f>
        <v>201.59200000000001</v>
      </c>
      <c r="I88" s="1540">
        <f>OKŠT!H172</f>
        <v>0</v>
      </c>
      <c r="J88" s="1540">
        <f>OKŠT!I172</f>
        <v>0</v>
      </c>
    </row>
    <row r="89" spans="1:10" s="1311" customFormat="1">
      <c r="A89" s="1310">
        <v>1079</v>
      </c>
      <c r="B89" s="1508">
        <v>4351</v>
      </c>
      <c r="C89" s="1536" t="s">
        <v>542</v>
      </c>
      <c r="D89" s="1537">
        <v>28</v>
      </c>
      <c r="E89" s="1538" t="s">
        <v>126</v>
      </c>
      <c r="F89" s="201" t="s">
        <v>467</v>
      </c>
      <c r="G89" s="1539">
        <f>'OSV '!F7</f>
        <v>0</v>
      </c>
      <c r="H89" s="1539">
        <f>'OSV '!G7</f>
        <v>65</v>
      </c>
      <c r="I89" s="1540">
        <f>'OSV '!H7</f>
        <v>0</v>
      </c>
      <c r="J89" s="1540">
        <f>'OSV '!I7</f>
        <v>0</v>
      </c>
    </row>
    <row r="90" spans="1:10" s="1311" customFormat="1" ht="15" customHeight="1">
      <c r="A90" s="1310">
        <v>712</v>
      </c>
      <c r="B90" s="1508">
        <v>4379</v>
      </c>
      <c r="C90" s="1536" t="s">
        <v>542</v>
      </c>
      <c r="D90" s="1537">
        <v>28</v>
      </c>
      <c r="E90" s="1538" t="s">
        <v>126</v>
      </c>
      <c r="F90" s="201" t="s">
        <v>471</v>
      </c>
      <c r="G90" s="1539">
        <f>'OSV '!F8</f>
        <v>250</v>
      </c>
      <c r="H90" s="1539">
        <f>'OSV '!G8</f>
        <v>1000</v>
      </c>
      <c r="I90" s="1540">
        <f>'OSV '!H8</f>
        <v>250</v>
      </c>
      <c r="J90" s="1540">
        <f>'OSV '!I8</f>
        <v>250</v>
      </c>
    </row>
    <row r="91" spans="1:10" s="1311" customFormat="1" ht="15" customHeight="1">
      <c r="A91" s="1310">
        <v>1079</v>
      </c>
      <c r="B91" s="1508" t="s">
        <v>472</v>
      </c>
      <c r="C91" s="1536" t="s">
        <v>542</v>
      </c>
      <c r="D91" s="1537">
        <v>28</v>
      </c>
      <c r="E91" s="1538" t="s">
        <v>126</v>
      </c>
      <c r="F91" s="201" t="s">
        <v>473</v>
      </c>
      <c r="G91" s="1539">
        <f>'OSV '!F9</f>
        <v>0</v>
      </c>
      <c r="H91" s="1539">
        <f>'OSV '!G9</f>
        <v>545</v>
      </c>
      <c r="I91" s="1540">
        <f>'OSV '!H9</f>
        <v>0</v>
      </c>
      <c r="J91" s="1540">
        <f>'OSV '!I9</f>
        <v>0</v>
      </c>
    </row>
    <row r="92" spans="1:10" s="1311" customFormat="1" ht="15" customHeight="1">
      <c r="A92" s="1310">
        <v>1079</v>
      </c>
      <c r="B92" s="1508">
        <v>4379</v>
      </c>
      <c r="C92" s="1536" t="s">
        <v>542</v>
      </c>
      <c r="D92" s="1537">
        <v>28</v>
      </c>
      <c r="E92" s="1538" t="s">
        <v>126</v>
      </c>
      <c r="F92" s="201" t="s">
        <v>476</v>
      </c>
      <c r="G92" s="1539">
        <f>'OSV '!F10</f>
        <v>0</v>
      </c>
      <c r="H92" s="1539">
        <f>'OSV '!G10</f>
        <v>200</v>
      </c>
      <c r="I92" s="1540">
        <f>'OSV '!H10</f>
        <v>0</v>
      </c>
      <c r="J92" s="1540">
        <f>'OSV '!I10</f>
        <v>0</v>
      </c>
    </row>
    <row r="93" spans="1:10" s="1311" customFormat="1" ht="15" customHeight="1">
      <c r="A93" s="1310">
        <v>1079</v>
      </c>
      <c r="B93" s="1508">
        <v>4344</v>
      </c>
      <c r="C93" s="1536" t="s">
        <v>542</v>
      </c>
      <c r="D93" s="1537">
        <v>28</v>
      </c>
      <c r="E93" s="1538" t="s">
        <v>126</v>
      </c>
      <c r="F93" s="201" t="s">
        <v>477</v>
      </c>
      <c r="G93" s="1539">
        <f>'OSV '!F11</f>
        <v>0</v>
      </c>
      <c r="H93" s="1539">
        <f>'OSV '!G11</f>
        <v>100</v>
      </c>
      <c r="I93" s="1540">
        <f>'OSV '!H11</f>
        <v>0</v>
      </c>
      <c r="J93" s="1540">
        <f>'OSV '!I11</f>
        <v>0</v>
      </c>
    </row>
    <row r="94" spans="1:10" s="1311" customFormat="1" ht="15" customHeight="1">
      <c r="A94" s="1310">
        <v>1079</v>
      </c>
      <c r="B94" s="1508" t="s">
        <v>472</v>
      </c>
      <c r="C94" s="1536" t="s">
        <v>542</v>
      </c>
      <c r="D94" s="1537">
        <v>28</v>
      </c>
      <c r="E94" s="1538" t="s">
        <v>126</v>
      </c>
      <c r="F94" s="201" t="s">
        <v>479</v>
      </c>
      <c r="G94" s="1539">
        <f>'OSV '!F12</f>
        <v>0</v>
      </c>
      <c r="H94" s="1539">
        <f>'OSV '!G12</f>
        <v>100</v>
      </c>
      <c r="I94" s="1540">
        <f>'OSV '!H12</f>
        <v>0</v>
      </c>
      <c r="J94" s="1540">
        <f>'OSV '!I12</f>
        <v>0</v>
      </c>
    </row>
    <row r="95" spans="1:10" s="1311" customFormat="1" ht="15" customHeight="1">
      <c r="A95" s="1310">
        <v>1079</v>
      </c>
      <c r="B95" s="1508">
        <v>4379</v>
      </c>
      <c r="C95" s="1536" t="s">
        <v>542</v>
      </c>
      <c r="D95" s="1537">
        <v>28</v>
      </c>
      <c r="E95" s="1538" t="s">
        <v>126</v>
      </c>
      <c r="F95" s="201" t="s">
        <v>480</v>
      </c>
      <c r="G95" s="1539">
        <f>'OSV '!F13</f>
        <v>0</v>
      </c>
      <c r="H95" s="1539">
        <f>'OSV '!G13</f>
        <v>155</v>
      </c>
      <c r="I95" s="1540">
        <f>'OSV '!H13</f>
        <v>0</v>
      </c>
      <c r="J95" s="1540">
        <f>'OSV '!I13</f>
        <v>0</v>
      </c>
    </row>
    <row r="96" spans="1:10" s="1311" customFormat="1" ht="15" customHeight="1">
      <c r="A96" s="1310">
        <v>711</v>
      </c>
      <c r="B96" s="1508" t="s">
        <v>472</v>
      </c>
      <c r="C96" s="1536" t="s">
        <v>542</v>
      </c>
      <c r="D96" s="1537">
        <v>28</v>
      </c>
      <c r="E96" s="1538" t="s">
        <v>126</v>
      </c>
      <c r="F96" s="201" t="s">
        <v>482</v>
      </c>
      <c r="G96" s="1539">
        <f>'OSV '!F14</f>
        <v>0</v>
      </c>
      <c r="H96" s="1539">
        <f>'OSV '!G14</f>
        <v>540</v>
      </c>
      <c r="I96" s="1540">
        <f>'OSV '!H14</f>
        <v>0</v>
      </c>
      <c r="J96" s="1540">
        <f>'OSV '!I14</f>
        <v>0</v>
      </c>
    </row>
    <row r="97" spans="1:11" s="1311" customFormat="1" ht="15" customHeight="1">
      <c r="A97" s="1310">
        <v>1079</v>
      </c>
      <c r="B97" s="1508" t="s">
        <v>472</v>
      </c>
      <c r="C97" s="1536" t="s">
        <v>542</v>
      </c>
      <c r="D97" s="1537">
        <v>28</v>
      </c>
      <c r="E97" s="1538" t="s">
        <v>126</v>
      </c>
      <c r="F97" s="201" t="s">
        <v>489</v>
      </c>
      <c r="G97" s="1539">
        <f>'OSV '!F20</f>
        <v>1451</v>
      </c>
      <c r="H97" s="1539">
        <f>'OSV '!G20</f>
        <v>1450</v>
      </c>
      <c r="I97" s="1540">
        <f>'OSV '!H20</f>
        <v>1500</v>
      </c>
      <c r="J97" s="1540">
        <f>'OSV '!I20</f>
        <v>1500</v>
      </c>
    </row>
    <row r="98" spans="1:11" s="1311" customFormat="1" ht="15" customHeight="1">
      <c r="A98" s="1314" t="s">
        <v>540</v>
      </c>
      <c r="B98" s="1512" t="s">
        <v>541</v>
      </c>
      <c r="C98" s="1536" t="s">
        <v>542</v>
      </c>
      <c r="D98" s="1537">
        <v>28</v>
      </c>
      <c r="E98" s="1538" t="s">
        <v>126</v>
      </c>
      <c r="F98" s="201" t="s">
        <v>767</v>
      </c>
      <c r="G98" s="1539">
        <f>'OSV '!F41</f>
        <v>426</v>
      </c>
      <c r="H98" s="1539">
        <f>'OSV '!G41</f>
        <v>531.26800000000003</v>
      </c>
      <c r="I98" s="1540">
        <f>'OSV '!H41</f>
        <v>314</v>
      </c>
      <c r="J98" s="1540">
        <f>'OSV '!I41</f>
        <v>314</v>
      </c>
    </row>
    <row r="99" spans="1:11" s="1311" customFormat="1" ht="15" customHeight="1">
      <c r="A99" s="1310">
        <v>724</v>
      </c>
      <c r="B99" s="1508">
        <v>4399</v>
      </c>
      <c r="C99" s="1536" t="s">
        <v>542</v>
      </c>
      <c r="D99" s="1537">
        <v>28</v>
      </c>
      <c r="E99" s="1538" t="s">
        <v>126</v>
      </c>
      <c r="F99" s="201" t="s">
        <v>523</v>
      </c>
      <c r="G99" s="1539">
        <f>'OSV '!F46</f>
        <v>0</v>
      </c>
      <c r="H99" s="1539">
        <f>'OSV '!G46</f>
        <v>84</v>
      </c>
      <c r="I99" s="1540">
        <f>'OSV '!H46</f>
        <v>0</v>
      </c>
      <c r="J99" s="1540">
        <f>'OSV '!I46</f>
        <v>669.66</v>
      </c>
    </row>
    <row r="100" spans="1:11" s="1311" customFormat="1" ht="15" customHeight="1">
      <c r="A100" s="1310">
        <v>721</v>
      </c>
      <c r="B100" s="1508">
        <v>6171</v>
      </c>
      <c r="C100" s="1536" t="s">
        <v>125</v>
      </c>
      <c r="D100" s="1537">
        <v>28</v>
      </c>
      <c r="E100" s="1538" t="s">
        <v>126</v>
      </c>
      <c r="F100" s="201" t="s">
        <v>530</v>
      </c>
      <c r="G100" s="1539">
        <f>'OSV '!F55</f>
        <v>0</v>
      </c>
      <c r="H100" s="1539">
        <f>'OSV '!G55</f>
        <v>222.35300000000001</v>
      </c>
      <c r="I100" s="1540">
        <f>'OSV '!H55</f>
        <v>0</v>
      </c>
      <c r="J100" s="1540">
        <f>'OSV '!I55</f>
        <v>0</v>
      </c>
    </row>
    <row r="101" spans="1:11" s="1311" customFormat="1" ht="15" customHeight="1">
      <c r="A101" s="1310">
        <v>723</v>
      </c>
      <c r="B101" s="1508">
        <v>3612</v>
      </c>
      <c r="C101" s="1536" t="s">
        <v>228</v>
      </c>
      <c r="D101" s="1537">
        <v>28</v>
      </c>
      <c r="E101" s="1538" t="s">
        <v>126</v>
      </c>
      <c r="F101" s="201" t="s">
        <v>531</v>
      </c>
      <c r="G101" s="1539">
        <f>'OSV '!F56</f>
        <v>0</v>
      </c>
      <c r="H101" s="1539">
        <f>'OSV '!G56</f>
        <v>72</v>
      </c>
      <c r="I101" s="1540">
        <f>'OSV '!H56</f>
        <v>0</v>
      </c>
      <c r="J101" s="1540">
        <f>'OSV '!I56</f>
        <v>0</v>
      </c>
    </row>
    <row r="102" spans="1:11" s="1311" customFormat="1" ht="15" customHeight="1">
      <c r="A102" s="1310">
        <v>742</v>
      </c>
      <c r="B102" s="1508">
        <v>6171</v>
      </c>
      <c r="C102" s="1536" t="s">
        <v>125</v>
      </c>
      <c r="D102" s="1537">
        <v>28</v>
      </c>
      <c r="E102" s="1538" t="s">
        <v>126</v>
      </c>
      <c r="F102" s="201" t="s">
        <v>535</v>
      </c>
      <c r="G102" s="1539">
        <f>'OSV '!F59</f>
        <v>200</v>
      </c>
      <c r="H102" s="1539">
        <f>'OSV '!G59</f>
        <v>210</v>
      </c>
      <c r="I102" s="1540">
        <f>'OSV '!H59</f>
        <v>200</v>
      </c>
      <c r="J102" s="1540">
        <f>'OSV '!I59</f>
        <v>200</v>
      </c>
    </row>
    <row r="103" spans="1:11" s="1311" customFormat="1" ht="15" customHeight="1">
      <c r="A103" s="1310">
        <v>4102</v>
      </c>
      <c r="B103" s="1511">
        <v>4399</v>
      </c>
      <c r="C103" s="1536" t="s">
        <v>542</v>
      </c>
      <c r="D103" s="1537">
        <v>28</v>
      </c>
      <c r="E103" s="1538" t="s">
        <v>126</v>
      </c>
      <c r="F103" s="201" t="s">
        <v>536</v>
      </c>
      <c r="G103" s="1539">
        <f>'OSV '!F60</f>
        <v>0</v>
      </c>
      <c r="H103" s="1539">
        <f>'OSV '!G60</f>
        <v>0</v>
      </c>
      <c r="I103" s="1540">
        <f>'OSV '!H60</f>
        <v>0</v>
      </c>
      <c r="J103" s="1540">
        <f>'OSV '!I60</f>
        <v>0</v>
      </c>
    </row>
    <row r="104" spans="1:11" s="1311" customFormat="1" ht="15" customHeight="1">
      <c r="A104" s="1310">
        <v>9302</v>
      </c>
      <c r="B104" s="1511">
        <v>4351</v>
      </c>
      <c r="C104" s="1536" t="s">
        <v>542</v>
      </c>
      <c r="D104" s="1537">
        <v>28</v>
      </c>
      <c r="E104" s="1538" t="s">
        <v>126</v>
      </c>
      <c r="F104" s="201" t="s">
        <v>537</v>
      </c>
      <c r="G104" s="1539">
        <f>'OSV '!F61</f>
        <v>15000</v>
      </c>
      <c r="H104" s="1539">
        <f>'OSV '!G61</f>
        <v>15000</v>
      </c>
      <c r="I104" s="1540">
        <f>'OSV '!H61</f>
        <v>15000</v>
      </c>
      <c r="J104" s="1540">
        <f>'OSV '!I61</f>
        <v>15000</v>
      </c>
    </row>
    <row r="105" spans="1:11" s="1311" customFormat="1" ht="15" customHeight="1">
      <c r="A105" s="1315" t="s">
        <v>227</v>
      </c>
      <c r="B105" s="1508" t="s">
        <v>122</v>
      </c>
      <c r="C105" s="1542" t="s">
        <v>228</v>
      </c>
      <c r="D105" s="1537">
        <v>34</v>
      </c>
      <c r="E105" s="1538" t="s">
        <v>126</v>
      </c>
      <c r="F105" s="201" t="s">
        <v>225</v>
      </c>
      <c r="G105" s="1539">
        <f>OSD!E21</f>
        <v>610</v>
      </c>
      <c r="H105" s="1539">
        <f>OSD!F21</f>
        <v>630</v>
      </c>
      <c r="I105" s="1540">
        <f>OSD!G21</f>
        <v>735</v>
      </c>
      <c r="J105" s="1540">
        <f>OSD!H21</f>
        <v>735</v>
      </c>
    </row>
    <row r="106" spans="1:11" s="1311" customFormat="1" ht="15" customHeight="1">
      <c r="A106" s="1310">
        <v>4061</v>
      </c>
      <c r="B106" s="1508">
        <v>3636</v>
      </c>
      <c r="C106" s="1536" t="s">
        <v>228</v>
      </c>
      <c r="D106" s="1537">
        <v>34</v>
      </c>
      <c r="E106" s="1538" t="s">
        <v>126</v>
      </c>
      <c r="F106" s="201" t="s">
        <v>224</v>
      </c>
      <c r="G106" s="1539">
        <f>OSD!E24</f>
        <v>1080</v>
      </c>
      <c r="H106" s="1539">
        <f>OSD!F24</f>
        <v>1080</v>
      </c>
      <c r="I106" s="1540">
        <f>OSD!G24</f>
        <v>830</v>
      </c>
      <c r="J106" s="1540">
        <f>OSD!H24</f>
        <v>830</v>
      </c>
    </row>
    <row r="107" spans="1:11" s="1311" customFormat="1" ht="15" customHeight="1">
      <c r="A107" s="1310">
        <v>4080</v>
      </c>
      <c r="B107" s="1508" t="s">
        <v>165</v>
      </c>
      <c r="C107" s="1536" t="s">
        <v>228</v>
      </c>
      <c r="D107" s="1537">
        <v>34</v>
      </c>
      <c r="E107" s="1538" t="s">
        <v>126</v>
      </c>
      <c r="F107" s="201" t="s">
        <v>212</v>
      </c>
      <c r="G107" s="1539">
        <f>OSD!E30</f>
        <v>890</v>
      </c>
      <c r="H107" s="1539">
        <f>OSD!F30</f>
        <v>1079.9939999999999</v>
      </c>
      <c r="I107" s="1540">
        <f>OSD!G30</f>
        <v>685</v>
      </c>
      <c r="J107" s="1540">
        <f>OSD!H30</f>
        <v>685</v>
      </c>
    </row>
    <row r="108" spans="1:11" s="1311" customFormat="1" ht="15" customHeight="1">
      <c r="A108" s="1310">
        <v>3403.3404</v>
      </c>
      <c r="B108" s="1508">
        <v>3699</v>
      </c>
      <c r="C108" s="1536" t="s">
        <v>228</v>
      </c>
      <c r="D108" s="1537">
        <v>34</v>
      </c>
      <c r="E108" s="1538" t="s">
        <v>126</v>
      </c>
      <c r="F108" s="201" t="s">
        <v>226</v>
      </c>
      <c r="G108" s="1539">
        <f>OSD!E41</f>
        <v>412</v>
      </c>
      <c r="H108" s="1539">
        <f>OSD!F41</f>
        <v>392</v>
      </c>
      <c r="I108" s="1540">
        <f>OSD!G41</f>
        <v>427</v>
      </c>
      <c r="J108" s="1540">
        <f>OSD!H41</f>
        <v>460</v>
      </c>
    </row>
    <row r="109" spans="1:11" s="1311" customFormat="1" ht="15" customHeight="1">
      <c r="A109" s="1310">
        <v>4090</v>
      </c>
      <c r="B109" s="1508">
        <v>3699</v>
      </c>
      <c r="C109" s="1536" t="s">
        <v>228</v>
      </c>
      <c r="D109" s="1537">
        <v>35</v>
      </c>
      <c r="E109" s="1538" t="s">
        <v>126</v>
      </c>
      <c r="F109" s="201" t="s">
        <v>321</v>
      </c>
      <c r="G109" s="1539">
        <f>'ORI '!F13</f>
        <v>1100</v>
      </c>
      <c r="H109" s="1539">
        <f>'ORI '!G13</f>
        <v>1700</v>
      </c>
      <c r="I109" s="1540">
        <f>'ORI '!H13</f>
        <v>400</v>
      </c>
      <c r="J109" s="1540">
        <f>'ORI '!I13</f>
        <v>868</v>
      </c>
      <c r="K109" s="1750"/>
    </row>
    <row r="110" spans="1:11" s="1311" customFormat="1" ht="15" customHeight="1">
      <c r="A110" s="1316" t="s">
        <v>322</v>
      </c>
      <c r="B110" s="1508">
        <v>3699</v>
      </c>
      <c r="C110" s="1536" t="s">
        <v>228</v>
      </c>
      <c r="D110" s="1537">
        <v>35</v>
      </c>
      <c r="E110" s="1538" t="s">
        <v>126</v>
      </c>
      <c r="F110" s="201" t="s">
        <v>246</v>
      </c>
      <c r="G110" s="1539">
        <f>'ORI '!F25</f>
        <v>818</v>
      </c>
      <c r="H110" s="1539">
        <f>'ORI '!G25</f>
        <v>1318</v>
      </c>
      <c r="I110" s="1540">
        <f>'ORI '!H25</f>
        <v>1326</v>
      </c>
      <c r="J110" s="1540">
        <f>'ORI '!I25</f>
        <v>1326</v>
      </c>
      <c r="K110" s="1750"/>
    </row>
    <row r="111" spans="1:11" s="1311" customFormat="1">
      <c r="A111" s="1316">
        <v>3507</v>
      </c>
      <c r="B111" s="1508">
        <v>2212</v>
      </c>
      <c r="C111" s="1536" t="s">
        <v>465</v>
      </c>
      <c r="D111" s="1537">
        <v>35</v>
      </c>
      <c r="E111" s="1538" t="s">
        <v>126</v>
      </c>
      <c r="F111" s="201" t="s">
        <v>231</v>
      </c>
      <c r="G111" s="1539">
        <f>'ORI '!F7</f>
        <v>0</v>
      </c>
      <c r="H111" s="1539">
        <f>'ORI '!G7</f>
        <v>4697</v>
      </c>
      <c r="I111" s="1540">
        <f>'ORI '!H7</f>
        <v>0</v>
      </c>
      <c r="J111" s="1540">
        <f>'ORI '!I7</f>
        <v>0</v>
      </c>
      <c r="K111" s="1750"/>
    </row>
    <row r="112" spans="1:11" s="1311" customFormat="1">
      <c r="A112" s="1316">
        <v>3541</v>
      </c>
      <c r="B112" s="1508">
        <v>2212</v>
      </c>
      <c r="C112" s="1536" t="s">
        <v>465</v>
      </c>
      <c r="D112" s="1537">
        <v>35</v>
      </c>
      <c r="E112" s="1538" t="s">
        <v>126</v>
      </c>
      <c r="F112" s="201" t="s">
        <v>232</v>
      </c>
      <c r="G112" s="1539">
        <f>'ORI '!F8</f>
        <v>0</v>
      </c>
      <c r="H112" s="1539">
        <f>'ORI '!G8</f>
        <v>815.36099999999999</v>
      </c>
      <c r="I112" s="1540">
        <f>'ORI '!H8</f>
        <v>0</v>
      </c>
      <c r="J112" s="1540">
        <f>'ORI '!I8</f>
        <v>0</v>
      </c>
      <c r="K112" s="1750"/>
    </row>
    <row r="113" spans="1:11" s="1311" customFormat="1">
      <c r="A113" s="1316">
        <v>3547</v>
      </c>
      <c r="B113" s="1508">
        <v>2219</v>
      </c>
      <c r="C113" s="1536" t="s">
        <v>465</v>
      </c>
      <c r="D113" s="1537">
        <v>35</v>
      </c>
      <c r="E113" s="1538" t="s">
        <v>126</v>
      </c>
      <c r="F113" s="201" t="s">
        <v>233</v>
      </c>
      <c r="G113" s="1539">
        <f>'ORI '!F9</f>
        <v>0</v>
      </c>
      <c r="H113" s="1539">
        <f>'ORI '!G9</f>
        <v>73.7</v>
      </c>
      <c r="I113" s="1540">
        <f>'ORI '!H9</f>
        <v>0</v>
      </c>
      <c r="J113" s="1540">
        <f>'ORI '!I9</f>
        <v>0</v>
      </c>
      <c r="K113" s="1750"/>
    </row>
    <row r="114" spans="1:11" s="1311" customFormat="1">
      <c r="A114" s="1316">
        <v>3552</v>
      </c>
      <c r="B114" s="1513">
        <v>2219</v>
      </c>
      <c r="C114" s="1536" t="s">
        <v>1129</v>
      </c>
      <c r="D114" s="1537">
        <v>35</v>
      </c>
      <c r="E114" s="1538" t="s">
        <v>126</v>
      </c>
      <c r="F114" s="201" t="s">
        <v>234</v>
      </c>
      <c r="G114" s="1539">
        <f>'ORI '!F10</f>
        <v>0</v>
      </c>
      <c r="H114" s="1539">
        <f>'ORI '!G10</f>
        <v>400</v>
      </c>
      <c r="I114" s="1540">
        <f>'ORI '!H10</f>
        <v>0</v>
      </c>
      <c r="J114" s="1540">
        <f>'ORI '!I10</f>
        <v>0</v>
      </c>
      <c r="K114" s="1750"/>
    </row>
    <row r="115" spans="1:11" s="1311" customFormat="1">
      <c r="A115" s="1316">
        <v>3510</v>
      </c>
      <c r="B115" s="1508">
        <v>3699</v>
      </c>
      <c r="C115" s="1536" t="s">
        <v>228</v>
      </c>
      <c r="D115" s="1537">
        <v>35</v>
      </c>
      <c r="E115" s="1541" t="s">
        <v>136</v>
      </c>
      <c r="F115" s="201" t="s">
        <v>247</v>
      </c>
      <c r="G115" s="1539">
        <f>'ORI '!F52</f>
        <v>1500</v>
      </c>
      <c r="H115" s="1539">
        <f>'ORI '!G52</f>
        <v>1500</v>
      </c>
      <c r="I115" s="1540">
        <f>'ORI '!H52</f>
        <v>1190</v>
      </c>
      <c r="J115" s="1864">
        <f>'ORI '!I52</f>
        <v>1190</v>
      </c>
      <c r="K115" s="1750"/>
    </row>
    <row r="116" spans="1:11" s="1311" customFormat="1" ht="25.5">
      <c r="A116" s="1316">
        <v>4091</v>
      </c>
      <c r="B116" s="1508">
        <v>3699</v>
      </c>
      <c r="C116" s="1536" t="s">
        <v>228</v>
      </c>
      <c r="D116" s="1537">
        <v>35</v>
      </c>
      <c r="E116" s="1541" t="s">
        <v>136</v>
      </c>
      <c r="F116" s="201" t="s">
        <v>250</v>
      </c>
      <c r="G116" s="1539">
        <f>'ORI '!F96</f>
        <v>0</v>
      </c>
      <c r="H116" s="1539">
        <f>'ORI '!G96</f>
        <v>500</v>
      </c>
      <c r="I116" s="1540">
        <f>'ORI '!H96</f>
        <v>0</v>
      </c>
      <c r="J116" s="1864">
        <f>'ORI '!I96</f>
        <v>0</v>
      </c>
      <c r="K116" s="1750"/>
    </row>
    <row r="117" spans="1:11" s="1311" customFormat="1">
      <c r="A117" s="1316">
        <v>4023</v>
      </c>
      <c r="B117" s="1508">
        <v>2212</v>
      </c>
      <c r="C117" s="1536" t="s">
        <v>465</v>
      </c>
      <c r="D117" s="1537">
        <v>35</v>
      </c>
      <c r="E117" s="1541" t="s">
        <v>136</v>
      </c>
      <c r="F117" s="201" t="s">
        <v>275</v>
      </c>
      <c r="G117" s="1539">
        <f>'ORI '!F51</f>
        <v>1875</v>
      </c>
      <c r="H117" s="1539">
        <f>'ORI '!G51</f>
        <v>1875</v>
      </c>
      <c r="I117" s="1540">
        <f>'ORI '!H51</f>
        <v>1360</v>
      </c>
      <c r="J117" s="1864">
        <f>'ORI '!I51</f>
        <v>1360</v>
      </c>
      <c r="K117" s="1750"/>
    </row>
    <row r="118" spans="1:11" s="1311" customFormat="1">
      <c r="A118" s="1316">
        <v>3536</v>
      </c>
      <c r="B118" s="1508">
        <v>3699</v>
      </c>
      <c r="C118" s="1536" t="s">
        <v>228</v>
      </c>
      <c r="D118" s="1537">
        <v>35</v>
      </c>
      <c r="E118" s="1541" t="s">
        <v>136</v>
      </c>
      <c r="F118" s="201" t="s">
        <v>286</v>
      </c>
      <c r="G118" s="1539">
        <f>'ORI '!F53</f>
        <v>750</v>
      </c>
      <c r="H118" s="1539">
        <f>'ORI '!G53</f>
        <v>750</v>
      </c>
      <c r="I118" s="1540">
        <f>'ORI '!H53</f>
        <v>425</v>
      </c>
      <c r="J118" s="1864">
        <f>'ORI '!I53</f>
        <v>725</v>
      </c>
      <c r="K118" s="1750"/>
    </row>
    <row r="119" spans="1:11" s="1311" customFormat="1">
      <c r="A119" s="1316">
        <v>3598</v>
      </c>
      <c r="B119" s="1508">
        <v>3699</v>
      </c>
      <c r="C119" s="1536" t="s">
        <v>228</v>
      </c>
      <c r="D119" s="1537">
        <v>35</v>
      </c>
      <c r="E119" s="1541" t="s">
        <v>136</v>
      </c>
      <c r="F119" s="201" t="s">
        <v>251</v>
      </c>
      <c r="G119" s="1539">
        <f>'ORI '!F54</f>
        <v>4000</v>
      </c>
      <c r="H119" s="1539">
        <f>'ORI '!G54</f>
        <v>4000</v>
      </c>
      <c r="I119" s="1540">
        <f>'ORI '!H54</f>
        <v>1700</v>
      </c>
      <c r="J119" s="1864">
        <f>'ORI '!I54</f>
        <v>1700</v>
      </c>
      <c r="K119" s="1750"/>
    </row>
    <row r="120" spans="1:11" s="1311" customFormat="1">
      <c r="A120" s="1316">
        <v>3976</v>
      </c>
      <c r="B120" s="1508">
        <v>3699</v>
      </c>
      <c r="C120" s="1536" t="s">
        <v>228</v>
      </c>
      <c r="D120" s="1537">
        <v>35</v>
      </c>
      <c r="E120" s="1541" t="s">
        <v>136</v>
      </c>
      <c r="F120" s="201" t="s">
        <v>253</v>
      </c>
      <c r="G120" s="1539">
        <f>'ORI '!F40</f>
        <v>5000</v>
      </c>
      <c r="H120" s="1539">
        <f>'ORI '!G40</f>
        <v>9519</v>
      </c>
      <c r="I120" s="1540">
        <f>'ORI '!H40</f>
        <v>41200</v>
      </c>
      <c r="J120" s="1864">
        <f>'ORI '!I40</f>
        <v>41932</v>
      </c>
      <c r="K120" s="1750"/>
    </row>
    <row r="121" spans="1:11" s="1311" customFormat="1">
      <c r="A121" s="1316">
        <v>4085</v>
      </c>
      <c r="B121" s="1508">
        <v>3699</v>
      </c>
      <c r="C121" s="1536" t="s">
        <v>228</v>
      </c>
      <c r="D121" s="1537">
        <v>35</v>
      </c>
      <c r="E121" s="1541" t="s">
        <v>136</v>
      </c>
      <c r="F121" s="201" t="s">
        <v>256</v>
      </c>
      <c r="G121" s="1539">
        <f>'ORI '!F43</f>
        <v>5000</v>
      </c>
      <c r="H121" s="1539">
        <f>'ORI '!G43</f>
        <v>8379.7999999999993</v>
      </c>
      <c r="I121" s="1540">
        <f>'ORI '!H43</f>
        <v>30000</v>
      </c>
      <c r="J121" s="1864">
        <f>'ORI '!I43</f>
        <v>30679</v>
      </c>
      <c r="K121" s="1750"/>
    </row>
    <row r="122" spans="1:11" s="1311" customFormat="1" ht="25.5">
      <c r="A122" s="1316">
        <v>4033</v>
      </c>
      <c r="B122" s="1508">
        <v>3419</v>
      </c>
      <c r="C122" s="1536" t="s">
        <v>1130</v>
      </c>
      <c r="D122" s="1537">
        <v>35</v>
      </c>
      <c r="E122" s="1541" t="s">
        <v>136</v>
      </c>
      <c r="F122" s="201" t="s">
        <v>1149</v>
      </c>
      <c r="G122" s="1539">
        <f>'ORI '!F97</f>
        <v>0</v>
      </c>
      <c r="H122" s="1539">
        <f>'ORI '!G97</f>
        <v>14850</v>
      </c>
      <c r="I122" s="1540">
        <f>'ORI '!H97</f>
        <v>0</v>
      </c>
      <c r="J122" s="1864">
        <f>'ORI '!I97</f>
        <v>0</v>
      </c>
      <c r="K122" s="1750"/>
    </row>
    <row r="123" spans="1:11" s="1311" customFormat="1">
      <c r="A123" s="1316"/>
      <c r="B123" s="1508">
        <v>3699</v>
      </c>
      <c r="C123" s="1536" t="s">
        <v>228</v>
      </c>
      <c r="D123" s="1537">
        <v>35</v>
      </c>
      <c r="E123" s="1541" t="s">
        <v>136</v>
      </c>
      <c r="F123" s="201" t="s">
        <v>1177</v>
      </c>
      <c r="G123" s="1539">
        <f>'ORI '!F99</f>
        <v>0</v>
      </c>
      <c r="H123" s="1539">
        <f>'ORI '!G99</f>
        <v>16315</v>
      </c>
      <c r="I123" s="1540">
        <f>'ORI '!H99</f>
        <v>0</v>
      </c>
      <c r="J123" s="1864">
        <f>'ORI '!I99</f>
        <v>4434</v>
      </c>
      <c r="K123" s="1750"/>
    </row>
    <row r="124" spans="1:11" s="1311" customFormat="1">
      <c r="A124" s="1316">
        <v>4018</v>
      </c>
      <c r="B124" s="1508">
        <v>3699</v>
      </c>
      <c r="C124" s="1536" t="s">
        <v>228</v>
      </c>
      <c r="D124" s="1537">
        <v>35</v>
      </c>
      <c r="E124" s="1541" t="s">
        <v>136</v>
      </c>
      <c r="F124" s="201" t="s">
        <v>1517</v>
      </c>
      <c r="G124" s="1539"/>
      <c r="H124" s="1539"/>
      <c r="I124" s="1540">
        <f>'ORI '!H100</f>
        <v>0</v>
      </c>
      <c r="J124" s="1864">
        <f>'ORI '!I100</f>
        <v>7102</v>
      </c>
      <c r="K124" s="1750"/>
    </row>
    <row r="125" spans="1:11" s="1311" customFormat="1">
      <c r="A125" s="1316">
        <v>4005</v>
      </c>
      <c r="B125" s="1508">
        <v>3699</v>
      </c>
      <c r="C125" s="1536" t="s">
        <v>228</v>
      </c>
      <c r="D125" s="1537">
        <v>35</v>
      </c>
      <c r="E125" s="1541" t="s">
        <v>136</v>
      </c>
      <c r="F125" s="201" t="s">
        <v>1536</v>
      </c>
      <c r="G125" s="1539"/>
      <c r="H125" s="1539"/>
      <c r="I125" s="1540">
        <f>'ORI '!H102</f>
        <v>0</v>
      </c>
      <c r="J125" s="1864">
        <f>'ORI '!I102</f>
        <v>7700</v>
      </c>
      <c r="K125" s="1750"/>
    </row>
    <row r="126" spans="1:11" s="1311" customFormat="1">
      <c r="A126" s="1316"/>
      <c r="B126" s="1508">
        <v>3699</v>
      </c>
      <c r="C126" s="1536" t="s">
        <v>228</v>
      </c>
      <c r="D126" s="1537">
        <v>35</v>
      </c>
      <c r="E126" s="1541" t="s">
        <v>136</v>
      </c>
      <c r="F126" s="201" t="s">
        <v>1176</v>
      </c>
      <c r="G126" s="1539">
        <f>'ORI '!F98</f>
        <v>0</v>
      </c>
      <c r="H126" s="1539">
        <f>'ORI '!G98</f>
        <v>874</v>
      </c>
      <c r="I126" s="1540">
        <f>'ORI '!H98</f>
        <v>0</v>
      </c>
      <c r="J126" s="1864">
        <f>'ORI '!I98</f>
        <v>0</v>
      </c>
      <c r="K126" s="1750"/>
    </row>
    <row r="127" spans="1:11" s="1311" customFormat="1">
      <c r="A127" s="1316">
        <v>3503</v>
      </c>
      <c r="B127" s="1508">
        <v>3699</v>
      </c>
      <c r="C127" s="1536" t="s">
        <v>228</v>
      </c>
      <c r="D127" s="1537">
        <v>35</v>
      </c>
      <c r="E127" s="1541" t="s">
        <v>136</v>
      </c>
      <c r="F127" s="954" t="s">
        <v>264</v>
      </c>
      <c r="G127" s="1539">
        <f>'ORI '!F119</f>
        <v>0</v>
      </c>
      <c r="H127" s="1539">
        <f>'ORI '!G119</f>
        <v>1390</v>
      </c>
      <c r="I127" s="1540">
        <f>'ORI '!H119</f>
        <v>0</v>
      </c>
      <c r="J127" s="1864">
        <f>'ORI '!I119</f>
        <v>378</v>
      </c>
      <c r="K127" s="1750"/>
    </row>
    <row r="128" spans="1:11" s="1311" customFormat="1">
      <c r="A128" s="1316"/>
      <c r="B128" s="1508">
        <v>2212</v>
      </c>
      <c r="C128" s="1536" t="s">
        <v>465</v>
      </c>
      <c r="D128" s="1537">
        <v>35</v>
      </c>
      <c r="E128" s="1541" t="s">
        <v>136</v>
      </c>
      <c r="F128" s="201" t="s">
        <v>266</v>
      </c>
      <c r="G128" s="1539">
        <f>'ORI '!F103</f>
        <v>0</v>
      </c>
      <c r="H128" s="1539">
        <f>'ORI '!G103</f>
        <v>13161.8</v>
      </c>
      <c r="I128" s="1540">
        <f>'ORI '!H103</f>
        <v>0</v>
      </c>
      <c r="J128" s="1864">
        <f>'ORI '!I103</f>
        <v>0</v>
      </c>
      <c r="K128" s="1750"/>
    </row>
    <row r="129" spans="1:11" s="1311" customFormat="1">
      <c r="A129" s="1316"/>
      <c r="B129" s="1508">
        <v>2212</v>
      </c>
      <c r="C129" s="1536" t="s">
        <v>465</v>
      </c>
      <c r="D129" s="1537">
        <v>35</v>
      </c>
      <c r="E129" s="1541" t="s">
        <v>136</v>
      </c>
      <c r="F129" s="201" t="s">
        <v>268</v>
      </c>
      <c r="G129" s="1539">
        <f>'ORI '!F104</f>
        <v>0</v>
      </c>
      <c r="H129" s="1539">
        <f>'ORI '!G104</f>
        <v>700</v>
      </c>
      <c r="I129" s="1540">
        <f>'ORI '!H104</f>
        <v>0</v>
      </c>
      <c r="J129" s="1864">
        <f>'ORI '!I104</f>
        <v>0</v>
      </c>
      <c r="K129" s="1750"/>
    </row>
    <row r="130" spans="1:11" s="1311" customFormat="1">
      <c r="A130" s="1316"/>
      <c r="B130" s="1508">
        <v>2212</v>
      </c>
      <c r="C130" s="1536" t="s">
        <v>465</v>
      </c>
      <c r="D130" s="1537">
        <v>35</v>
      </c>
      <c r="E130" s="1541" t="s">
        <v>136</v>
      </c>
      <c r="F130" s="201" t="s">
        <v>270</v>
      </c>
      <c r="G130" s="1539">
        <f>'ORI '!F105</f>
        <v>0</v>
      </c>
      <c r="H130" s="1539">
        <f>'ORI '!G105</f>
        <v>560</v>
      </c>
      <c r="I130" s="1540">
        <f>'ORI '!H105</f>
        <v>0</v>
      </c>
      <c r="J130" s="1864">
        <f>'ORI '!I105</f>
        <v>0</v>
      </c>
      <c r="K130" s="1750"/>
    </row>
    <row r="131" spans="1:11" s="1311" customFormat="1">
      <c r="A131" s="1316"/>
      <c r="B131" s="1508">
        <v>2212</v>
      </c>
      <c r="C131" s="1536" t="s">
        <v>465</v>
      </c>
      <c r="D131" s="1537">
        <v>35</v>
      </c>
      <c r="E131" s="1541" t="s">
        <v>136</v>
      </c>
      <c r="F131" s="201" t="s">
        <v>272</v>
      </c>
      <c r="G131" s="1539">
        <f>'ORI '!F106</f>
        <v>0</v>
      </c>
      <c r="H131" s="1539">
        <f>'ORI '!G106</f>
        <v>2788.9331699999998</v>
      </c>
      <c r="I131" s="1540">
        <f>'ORI '!H106</f>
        <v>0</v>
      </c>
      <c r="J131" s="1864">
        <f>'ORI '!I106</f>
        <v>0</v>
      </c>
      <c r="K131" s="1750"/>
    </row>
    <row r="132" spans="1:11" s="1311" customFormat="1">
      <c r="A132" s="1316"/>
      <c r="B132" s="1508">
        <v>2212</v>
      </c>
      <c r="C132" s="1536" t="s">
        <v>465</v>
      </c>
      <c r="D132" s="1537">
        <v>35</v>
      </c>
      <c r="E132" s="1541" t="s">
        <v>136</v>
      </c>
      <c r="F132" s="201" t="s">
        <v>274</v>
      </c>
      <c r="G132" s="1539">
        <f>'ORI '!F107</f>
        <v>0</v>
      </c>
      <c r="H132" s="1539">
        <f>'ORI '!G107</f>
        <v>640</v>
      </c>
      <c r="I132" s="1540">
        <f>'ORI '!H107</f>
        <v>0</v>
      </c>
      <c r="J132" s="1864">
        <f>'ORI '!I107</f>
        <v>0</v>
      </c>
      <c r="K132" s="1750"/>
    </row>
    <row r="133" spans="1:11" s="1311" customFormat="1">
      <c r="A133" s="1316"/>
      <c r="B133" s="1508">
        <v>2212</v>
      </c>
      <c r="C133" s="1536" t="s">
        <v>465</v>
      </c>
      <c r="D133" s="1537">
        <v>35</v>
      </c>
      <c r="E133" s="1541" t="s">
        <v>136</v>
      </c>
      <c r="F133" s="201" t="s">
        <v>1134</v>
      </c>
      <c r="G133" s="1539">
        <f>'ORI '!F57</f>
        <v>0</v>
      </c>
      <c r="H133" s="1539">
        <f>'ORI '!G57</f>
        <v>0</v>
      </c>
      <c r="I133" s="1540">
        <f>'ORI '!H57</f>
        <v>1955</v>
      </c>
      <c r="J133" s="1864">
        <f>'ORI '!I57</f>
        <v>1955</v>
      </c>
      <c r="K133" s="1750"/>
    </row>
    <row r="134" spans="1:11" s="1311" customFormat="1">
      <c r="A134" s="1316"/>
      <c r="B134" s="1508">
        <v>2212</v>
      </c>
      <c r="C134" s="1536" t="s">
        <v>465</v>
      </c>
      <c r="D134" s="1537">
        <v>35</v>
      </c>
      <c r="E134" s="1541" t="s">
        <v>136</v>
      </c>
      <c r="F134" s="201" t="s">
        <v>1133</v>
      </c>
      <c r="G134" s="1539">
        <f>'ORI '!F58</f>
        <v>0</v>
      </c>
      <c r="H134" s="1539">
        <f>'ORI '!G58</f>
        <v>0</v>
      </c>
      <c r="I134" s="1540">
        <f>'ORI '!H58</f>
        <v>765</v>
      </c>
      <c r="J134" s="1864">
        <f>'ORI '!I58</f>
        <v>765</v>
      </c>
      <c r="K134" s="1750"/>
    </row>
    <row r="135" spans="1:11" s="1311" customFormat="1">
      <c r="A135" s="1316">
        <v>3984</v>
      </c>
      <c r="B135" s="1508">
        <v>3613</v>
      </c>
      <c r="C135" s="1536" t="s">
        <v>228</v>
      </c>
      <c r="D135" s="1537">
        <v>35</v>
      </c>
      <c r="E135" s="1541" t="s">
        <v>136</v>
      </c>
      <c r="F135" s="201" t="s">
        <v>1142</v>
      </c>
      <c r="G135" s="1539">
        <f>'ORI '!F59</f>
        <v>0</v>
      </c>
      <c r="H135" s="1539">
        <f>'ORI '!G59</f>
        <v>8660</v>
      </c>
      <c r="I135" s="1540">
        <f>'ORI '!H59</f>
        <v>1785</v>
      </c>
      <c r="J135" s="1864">
        <f>'ORI '!I59</f>
        <v>1785</v>
      </c>
      <c r="K135" s="1750"/>
    </row>
    <row r="136" spans="1:11" s="1311" customFormat="1">
      <c r="A136" s="1316">
        <v>3513</v>
      </c>
      <c r="B136" s="1508">
        <v>6171</v>
      </c>
      <c r="C136" s="1536" t="s">
        <v>125</v>
      </c>
      <c r="D136" s="1537">
        <v>35</v>
      </c>
      <c r="E136" s="1541" t="s">
        <v>136</v>
      </c>
      <c r="F136" s="201" t="s">
        <v>1148</v>
      </c>
      <c r="G136" s="1539">
        <f>'ORI '!F60</f>
        <v>0</v>
      </c>
      <c r="H136" s="1539">
        <f>'ORI '!G60</f>
        <v>0</v>
      </c>
      <c r="I136" s="1540">
        <f>'ORI '!H60</f>
        <v>3570</v>
      </c>
      <c r="J136" s="1864">
        <f>'ORI '!I60</f>
        <v>3570</v>
      </c>
      <c r="K136" s="1750"/>
    </row>
    <row r="137" spans="1:11" s="1311" customFormat="1">
      <c r="A137" s="1316">
        <v>3513</v>
      </c>
      <c r="B137" s="1508">
        <v>6171</v>
      </c>
      <c r="C137" s="1536" t="s">
        <v>125</v>
      </c>
      <c r="D137" s="1537">
        <v>35</v>
      </c>
      <c r="E137" s="1541" t="s">
        <v>136</v>
      </c>
      <c r="F137" s="201" t="s">
        <v>1209</v>
      </c>
      <c r="G137" s="1539">
        <f>'ORI '!F118</f>
        <v>1500</v>
      </c>
      <c r="H137" s="1539">
        <f>'ORI '!G118</f>
        <v>1500</v>
      </c>
      <c r="I137" s="1540"/>
      <c r="J137" s="1864"/>
      <c r="K137" s="1750"/>
    </row>
    <row r="138" spans="1:11" s="1311" customFormat="1">
      <c r="A138" s="1316">
        <v>3513</v>
      </c>
      <c r="B138" s="1508">
        <v>6171</v>
      </c>
      <c r="C138" s="1536" t="s">
        <v>125</v>
      </c>
      <c r="D138" s="1537">
        <v>35</v>
      </c>
      <c r="E138" s="1541" t="s">
        <v>136</v>
      </c>
      <c r="F138" s="201" t="s">
        <v>1202</v>
      </c>
      <c r="G138" s="1539">
        <f>SUM('ORI '!F55)</f>
        <v>0</v>
      </c>
      <c r="H138" s="1539">
        <f>SUM('ORI '!G55)</f>
        <v>0</v>
      </c>
      <c r="I138" s="1540">
        <f>SUM('ORI '!H55)</f>
        <v>680</v>
      </c>
      <c r="J138" s="1864">
        <f>SUM('ORI '!I55)</f>
        <v>680</v>
      </c>
      <c r="K138" s="1750"/>
    </row>
    <row r="139" spans="1:11" s="1311" customFormat="1" ht="25.5">
      <c r="A139" s="1316">
        <v>3582</v>
      </c>
      <c r="B139" s="1508">
        <v>2212</v>
      </c>
      <c r="C139" s="1536" t="s">
        <v>465</v>
      </c>
      <c r="D139" s="1537">
        <v>35</v>
      </c>
      <c r="E139" s="1541" t="s">
        <v>136</v>
      </c>
      <c r="F139" s="201" t="s">
        <v>288</v>
      </c>
      <c r="G139" s="1539">
        <f>'ORI '!F108</f>
        <v>0</v>
      </c>
      <c r="H139" s="1539">
        <f>'ORI '!G108</f>
        <v>1248.2180000000001</v>
      </c>
      <c r="I139" s="1540">
        <f>'ORI '!H108</f>
        <v>0</v>
      </c>
      <c r="J139" s="1864">
        <f>'ORI '!I108</f>
        <v>0</v>
      </c>
      <c r="K139" s="1750"/>
    </row>
    <row r="140" spans="1:11" s="1311" customFormat="1">
      <c r="A140" s="1316">
        <v>3537</v>
      </c>
      <c r="B140" s="1508">
        <v>2212</v>
      </c>
      <c r="C140" s="1536" t="s">
        <v>465</v>
      </c>
      <c r="D140" s="1537">
        <v>35</v>
      </c>
      <c r="E140" s="1541" t="s">
        <v>136</v>
      </c>
      <c r="F140" s="201" t="s">
        <v>289</v>
      </c>
      <c r="G140" s="1539">
        <f>'ORI '!F61</f>
        <v>500</v>
      </c>
      <c r="H140" s="1539">
        <f>'ORI '!G61</f>
        <v>500</v>
      </c>
      <c r="I140" s="1540">
        <f>'ORI '!H61</f>
        <v>1000</v>
      </c>
      <c r="J140" s="1864">
        <f>'ORI '!I61</f>
        <v>1000</v>
      </c>
      <c r="K140" s="1750"/>
    </row>
    <row r="141" spans="1:11" s="1311" customFormat="1">
      <c r="A141" s="1316">
        <v>3538</v>
      </c>
      <c r="B141" s="1508">
        <v>2219</v>
      </c>
      <c r="C141" s="1536" t="s">
        <v>465</v>
      </c>
      <c r="D141" s="1537">
        <v>35</v>
      </c>
      <c r="E141" s="1541" t="s">
        <v>136</v>
      </c>
      <c r="F141" s="201" t="s">
        <v>290</v>
      </c>
      <c r="G141" s="1539">
        <f>'ORI '!F109</f>
        <v>1000</v>
      </c>
      <c r="H141" s="1539">
        <f>'ORI '!G109</f>
        <v>1000</v>
      </c>
      <c r="I141" s="1540">
        <f>'ORI '!H109</f>
        <v>0</v>
      </c>
      <c r="J141" s="1864">
        <f>'ORI '!I109</f>
        <v>0</v>
      </c>
      <c r="K141" s="1750"/>
    </row>
    <row r="142" spans="1:11" s="1311" customFormat="1">
      <c r="A142" s="1316">
        <v>3539</v>
      </c>
      <c r="B142" s="1508">
        <v>2212</v>
      </c>
      <c r="C142" s="1536" t="s">
        <v>465</v>
      </c>
      <c r="D142" s="1537">
        <v>35</v>
      </c>
      <c r="E142" s="1541" t="s">
        <v>136</v>
      </c>
      <c r="F142" s="201" t="s">
        <v>291</v>
      </c>
      <c r="G142" s="1539">
        <f>'ORI '!F62</f>
        <v>500</v>
      </c>
      <c r="H142" s="1539">
        <f>'ORI '!G62</f>
        <v>500</v>
      </c>
      <c r="I142" s="1540">
        <f>'ORI '!H62</f>
        <v>1000</v>
      </c>
      <c r="J142" s="1864">
        <f>'ORI '!I62</f>
        <v>1000</v>
      </c>
      <c r="K142" s="1750"/>
    </row>
    <row r="143" spans="1:11" s="1311" customFormat="1" ht="25.5">
      <c r="A143" s="1316">
        <v>3540</v>
      </c>
      <c r="B143" s="1508">
        <v>2212</v>
      </c>
      <c r="C143" s="1536" t="s">
        <v>465</v>
      </c>
      <c r="D143" s="1537">
        <v>35</v>
      </c>
      <c r="E143" s="1541" t="s">
        <v>136</v>
      </c>
      <c r="F143" s="201" t="s">
        <v>1135</v>
      </c>
      <c r="G143" s="1539">
        <f>'ORI '!F110</f>
        <v>825</v>
      </c>
      <c r="H143" s="1539">
        <f>'ORI '!G110</f>
        <v>0</v>
      </c>
      <c r="I143" s="1540">
        <f>'ORI '!H110</f>
        <v>0</v>
      </c>
      <c r="J143" s="1864">
        <f>'ORI '!I110</f>
        <v>0</v>
      </c>
      <c r="K143" s="1750"/>
    </row>
    <row r="144" spans="1:11" s="1311" customFormat="1">
      <c r="A144" s="1316"/>
      <c r="B144" s="1508" t="s">
        <v>1179</v>
      </c>
      <c r="C144" s="1536" t="s">
        <v>465</v>
      </c>
      <c r="D144" s="1537">
        <v>35</v>
      </c>
      <c r="E144" s="1541" t="s">
        <v>136</v>
      </c>
      <c r="F144" s="201" t="s">
        <v>1136</v>
      </c>
      <c r="G144" s="1539">
        <f>'ORI '!F63</f>
        <v>0</v>
      </c>
      <c r="H144" s="1539">
        <f>'ORI '!G63</f>
        <v>0</v>
      </c>
      <c r="I144" s="1540">
        <f>'ORI '!H63</f>
        <v>1020</v>
      </c>
      <c r="J144" s="1864">
        <f>'ORI '!I63</f>
        <v>1020</v>
      </c>
      <c r="K144" s="1750"/>
    </row>
    <row r="145" spans="1:11" s="1311" customFormat="1">
      <c r="A145" s="1316">
        <v>3541</v>
      </c>
      <c r="B145" s="1508">
        <v>2212</v>
      </c>
      <c r="C145" s="1536" t="s">
        <v>465</v>
      </c>
      <c r="D145" s="1537">
        <v>35</v>
      </c>
      <c r="E145" s="1541" t="s">
        <v>136</v>
      </c>
      <c r="F145" s="201" t="s">
        <v>292</v>
      </c>
      <c r="G145" s="1539">
        <f>'ORI '!F111</f>
        <v>3300</v>
      </c>
      <c r="H145" s="1539">
        <f>'ORI '!G111</f>
        <v>3300</v>
      </c>
      <c r="I145" s="1540">
        <f>'ORI '!H111</f>
        <v>0</v>
      </c>
      <c r="J145" s="1864">
        <f>'ORI '!I111</f>
        <v>3135</v>
      </c>
      <c r="K145" s="1750"/>
    </row>
    <row r="146" spans="1:11" s="1311" customFormat="1">
      <c r="A146" s="1316">
        <v>3542</v>
      </c>
      <c r="B146" s="1508">
        <v>2212</v>
      </c>
      <c r="C146" s="1536" t="s">
        <v>465</v>
      </c>
      <c r="D146" s="1537">
        <v>35</v>
      </c>
      <c r="E146" s="1541" t="s">
        <v>136</v>
      </c>
      <c r="F146" s="201" t="s">
        <v>293</v>
      </c>
      <c r="G146" s="1539">
        <f>'ORI '!F112</f>
        <v>5500</v>
      </c>
      <c r="H146" s="1539">
        <f>'ORI '!G112</f>
        <v>5500</v>
      </c>
      <c r="I146" s="1540">
        <f>'ORI '!H112</f>
        <v>0</v>
      </c>
      <c r="J146" s="1864">
        <f>'ORI '!I112</f>
        <v>5500</v>
      </c>
      <c r="K146" s="1750"/>
    </row>
    <row r="147" spans="1:11" s="1311" customFormat="1">
      <c r="A147" s="1316">
        <v>3543</v>
      </c>
      <c r="B147" s="1508">
        <v>2212</v>
      </c>
      <c r="C147" s="1536" t="s">
        <v>465</v>
      </c>
      <c r="D147" s="1537">
        <v>35</v>
      </c>
      <c r="E147" s="1541" t="s">
        <v>136</v>
      </c>
      <c r="F147" s="201" t="s">
        <v>294</v>
      </c>
      <c r="G147" s="1539">
        <f>'ORI '!F113</f>
        <v>4275</v>
      </c>
      <c r="H147" s="1539">
        <f>'ORI '!G113</f>
        <v>4275</v>
      </c>
      <c r="I147" s="1540">
        <f>'ORI '!H113</f>
        <v>0</v>
      </c>
      <c r="J147" s="1864">
        <f>'ORI '!I113</f>
        <v>4195</v>
      </c>
      <c r="K147" s="1750"/>
    </row>
    <row r="148" spans="1:11" s="1311" customFormat="1">
      <c r="A148" s="1316">
        <v>3544</v>
      </c>
      <c r="B148" s="1508">
        <v>2212</v>
      </c>
      <c r="C148" s="1536" t="s">
        <v>465</v>
      </c>
      <c r="D148" s="1537">
        <v>35</v>
      </c>
      <c r="E148" s="1541" t="s">
        <v>136</v>
      </c>
      <c r="F148" s="201" t="s">
        <v>295</v>
      </c>
      <c r="G148" s="1539">
        <f>'ORI '!F114</f>
        <v>1275</v>
      </c>
      <c r="H148" s="1539">
        <f>'ORI '!G114</f>
        <v>1275</v>
      </c>
      <c r="I148" s="1540">
        <f>'ORI '!H114</f>
        <v>0</v>
      </c>
      <c r="J148" s="1864">
        <f>'ORI '!I114</f>
        <v>1235</v>
      </c>
      <c r="K148" s="1750"/>
    </row>
    <row r="149" spans="1:11" s="1311" customFormat="1">
      <c r="A149" s="1316">
        <v>3545</v>
      </c>
      <c r="B149" s="1508">
        <v>2212</v>
      </c>
      <c r="C149" s="1536" t="s">
        <v>465</v>
      </c>
      <c r="D149" s="1537">
        <v>35</v>
      </c>
      <c r="E149" s="1541" t="s">
        <v>136</v>
      </c>
      <c r="F149" s="201" t="s">
        <v>296</v>
      </c>
      <c r="G149" s="1539">
        <f>'ORI '!F64</f>
        <v>12825</v>
      </c>
      <c r="H149" s="1539">
        <f>'ORI '!G64</f>
        <v>12825</v>
      </c>
      <c r="I149" s="1540">
        <f>'ORI '!H66</f>
        <v>9668.75</v>
      </c>
      <c r="J149" s="1864">
        <f>'ORI '!I66</f>
        <v>22174.75</v>
      </c>
      <c r="K149" s="1750"/>
    </row>
    <row r="150" spans="1:11" s="1311" customFormat="1">
      <c r="A150" s="1316">
        <v>3546</v>
      </c>
      <c r="B150" s="1508">
        <v>2212</v>
      </c>
      <c r="C150" s="1536" t="s">
        <v>465</v>
      </c>
      <c r="D150" s="1537">
        <v>35</v>
      </c>
      <c r="E150" s="1541" t="s">
        <v>136</v>
      </c>
      <c r="F150" s="201" t="s">
        <v>297</v>
      </c>
      <c r="G150" s="1539">
        <f>'ORI '!F67</f>
        <v>18400</v>
      </c>
      <c r="H150" s="1539">
        <f>'ORI '!G67</f>
        <v>18400</v>
      </c>
      <c r="I150" s="1540">
        <f>'ORI '!H69</f>
        <v>18530</v>
      </c>
      <c r="J150" s="1864">
        <f>'ORI '!I69</f>
        <v>26087</v>
      </c>
      <c r="K150" s="1750"/>
    </row>
    <row r="151" spans="1:11" s="1311" customFormat="1">
      <c r="A151" s="1316"/>
      <c r="B151" s="1508">
        <v>2212</v>
      </c>
      <c r="C151" s="1536" t="s">
        <v>465</v>
      </c>
      <c r="D151" s="1537">
        <v>35</v>
      </c>
      <c r="E151" s="1541" t="s">
        <v>136</v>
      </c>
      <c r="F151" s="201" t="s">
        <v>1174</v>
      </c>
      <c r="G151" s="1539">
        <f>'ORI '!F70</f>
        <v>0</v>
      </c>
      <c r="H151" s="1539">
        <f>'ORI '!G70</f>
        <v>0</v>
      </c>
      <c r="I151" s="1540">
        <f>'ORI '!H70</f>
        <v>1785</v>
      </c>
      <c r="J151" s="1864">
        <f>'ORI '!I70</f>
        <v>1785</v>
      </c>
      <c r="K151" s="1750"/>
    </row>
    <row r="152" spans="1:11" s="1311" customFormat="1">
      <c r="A152" s="1316"/>
      <c r="B152" s="1508">
        <v>2212</v>
      </c>
      <c r="C152" s="1536" t="s">
        <v>465</v>
      </c>
      <c r="D152" s="1537">
        <v>35</v>
      </c>
      <c r="E152" s="1541" t="s">
        <v>136</v>
      </c>
      <c r="F152" s="201" t="s">
        <v>1137</v>
      </c>
      <c r="G152" s="1539">
        <f>'ORI '!F71</f>
        <v>0</v>
      </c>
      <c r="H152" s="1539">
        <f>'ORI '!G71</f>
        <v>0</v>
      </c>
      <c r="I152" s="1540">
        <f>'ORI '!H71</f>
        <v>1360</v>
      </c>
      <c r="J152" s="1864">
        <f>'ORI '!I71</f>
        <v>1360</v>
      </c>
      <c r="K152" s="1750"/>
    </row>
    <row r="153" spans="1:11" s="1311" customFormat="1">
      <c r="A153" s="1316"/>
      <c r="B153" s="1508">
        <v>2212</v>
      </c>
      <c r="C153" s="1536" t="s">
        <v>465</v>
      </c>
      <c r="D153" s="1537">
        <v>35</v>
      </c>
      <c r="E153" s="1541" t="s">
        <v>136</v>
      </c>
      <c r="F153" s="201" t="s">
        <v>1139</v>
      </c>
      <c r="G153" s="1539">
        <f>'ORI '!F72</f>
        <v>0</v>
      </c>
      <c r="H153" s="1539">
        <f>'ORI '!G72</f>
        <v>0</v>
      </c>
      <c r="I153" s="1540">
        <f>'ORI '!H72</f>
        <v>255</v>
      </c>
      <c r="J153" s="1864">
        <f>'ORI '!I72</f>
        <v>255</v>
      </c>
      <c r="K153" s="1750"/>
    </row>
    <row r="154" spans="1:11" s="1311" customFormat="1">
      <c r="A154" s="1316"/>
      <c r="B154" s="1508">
        <v>2212</v>
      </c>
      <c r="C154" s="1536" t="s">
        <v>465</v>
      </c>
      <c r="D154" s="1537">
        <v>35</v>
      </c>
      <c r="E154" s="1541" t="s">
        <v>136</v>
      </c>
      <c r="F154" s="201" t="s">
        <v>1138</v>
      </c>
      <c r="G154" s="1539">
        <f>'ORI '!F73</f>
        <v>0</v>
      </c>
      <c r="H154" s="1539">
        <f>'ORI '!G73</f>
        <v>0</v>
      </c>
      <c r="I154" s="1540">
        <f>'ORI '!H73</f>
        <v>1615</v>
      </c>
      <c r="J154" s="1864">
        <f>'ORI '!I73</f>
        <v>1615</v>
      </c>
      <c r="K154" s="1750"/>
    </row>
    <row r="155" spans="1:11" s="1311" customFormat="1">
      <c r="A155" s="1316"/>
      <c r="B155" s="1508">
        <v>2212</v>
      </c>
      <c r="C155" s="1536" t="s">
        <v>465</v>
      </c>
      <c r="D155" s="1537">
        <v>35</v>
      </c>
      <c r="E155" s="1541" t="s">
        <v>136</v>
      </c>
      <c r="F155" s="201" t="s">
        <v>1140</v>
      </c>
      <c r="G155" s="1539">
        <f>'ORI '!F74</f>
        <v>0</v>
      </c>
      <c r="H155" s="1539">
        <f>'ORI '!G74</f>
        <v>0</v>
      </c>
      <c r="I155" s="1540">
        <f>'ORI '!H74</f>
        <v>1000</v>
      </c>
      <c r="J155" s="1864">
        <f>'ORI '!I74</f>
        <v>1000</v>
      </c>
      <c r="K155" s="1750"/>
    </row>
    <row r="156" spans="1:11" s="1311" customFormat="1">
      <c r="A156" s="1316"/>
      <c r="B156" s="1508">
        <v>2212</v>
      </c>
      <c r="C156" s="1536" t="s">
        <v>465</v>
      </c>
      <c r="D156" s="1537">
        <v>35</v>
      </c>
      <c r="E156" s="1541" t="s">
        <v>136</v>
      </c>
      <c r="F156" s="201" t="s">
        <v>1141</v>
      </c>
      <c r="G156" s="1539">
        <f>'ORI '!F75</f>
        <v>0</v>
      </c>
      <c r="H156" s="1539">
        <f>'ORI '!G75</f>
        <v>0</v>
      </c>
      <c r="I156" s="1540">
        <f>'ORI '!H75</f>
        <v>2465</v>
      </c>
      <c r="J156" s="1864">
        <f>'ORI '!I75</f>
        <v>2465</v>
      </c>
      <c r="K156" s="1750"/>
    </row>
    <row r="157" spans="1:11" s="1311" customFormat="1">
      <c r="A157" s="1316"/>
      <c r="B157" s="1508">
        <v>3699</v>
      </c>
      <c r="C157" s="1536" t="s">
        <v>228</v>
      </c>
      <c r="D157" s="1537">
        <v>35</v>
      </c>
      <c r="E157" s="1541" t="s">
        <v>136</v>
      </c>
      <c r="F157" s="201" t="s">
        <v>1173</v>
      </c>
      <c r="G157" s="1539">
        <f>'ORI '!F76</f>
        <v>0</v>
      </c>
      <c r="H157" s="1539">
        <f>'ORI '!G76</f>
        <v>0</v>
      </c>
      <c r="I157" s="1540">
        <f>'ORI '!H76</f>
        <v>935</v>
      </c>
      <c r="J157" s="1864">
        <f>'ORI '!I76</f>
        <v>935</v>
      </c>
      <c r="K157" s="1750"/>
    </row>
    <row r="158" spans="1:11" s="1311" customFormat="1" ht="15" customHeight="1">
      <c r="A158" s="1316"/>
      <c r="B158" s="1508">
        <v>3311</v>
      </c>
      <c r="C158" s="1536" t="s">
        <v>1129</v>
      </c>
      <c r="D158" s="1537">
        <v>35</v>
      </c>
      <c r="E158" s="1541" t="s">
        <v>136</v>
      </c>
      <c r="F158" s="201" t="s">
        <v>1143</v>
      </c>
      <c r="G158" s="1539">
        <f>'ORI '!F77</f>
        <v>0</v>
      </c>
      <c r="H158" s="1539">
        <f>'ORI '!G77</f>
        <v>0</v>
      </c>
      <c r="I158" s="1540">
        <f>'ORI '!H77</f>
        <v>3910</v>
      </c>
      <c r="J158" s="1864">
        <f>'ORI '!I77</f>
        <v>3910</v>
      </c>
      <c r="K158" s="1750"/>
    </row>
    <row r="159" spans="1:11" s="1311" customFormat="1" ht="15" customHeight="1">
      <c r="A159" s="1316">
        <v>3547</v>
      </c>
      <c r="B159" s="1508">
        <v>2219</v>
      </c>
      <c r="C159" s="1536" t="s">
        <v>465</v>
      </c>
      <c r="D159" s="1537">
        <v>35</v>
      </c>
      <c r="E159" s="1541" t="s">
        <v>136</v>
      </c>
      <c r="F159" s="201" t="s">
        <v>233</v>
      </c>
      <c r="G159" s="1539">
        <f>'ORI '!F115</f>
        <v>21000</v>
      </c>
      <c r="H159" s="1539">
        <f>'ORI '!G115</f>
        <v>12226.3</v>
      </c>
      <c r="I159" s="1540">
        <f>'ORI '!H115</f>
        <v>0</v>
      </c>
      <c r="J159" s="1864">
        <f>'ORI '!I115</f>
        <v>3656</v>
      </c>
      <c r="K159" s="1750"/>
    </row>
    <row r="160" spans="1:11" s="1311" customFormat="1" ht="15" customHeight="1">
      <c r="A160" s="1316">
        <v>3555</v>
      </c>
      <c r="B160" s="1508">
        <v>2212</v>
      </c>
      <c r="C160" s="1536" t="s">
        <v>465</v>
      </c>
      <c r="D160" s="1537">
        <v>35</v>
      </c>
      <c r="E160" s="1541" t="s">
        <v>136</v>
      </c>
      <c r="F160" s="201" t="s">
        <v>1496</v>
      </c>
      <c r="G160" s="1539"/>
      <c r="H160" s="1539"/>
      <c r="I160" s="1540">
        <f>'ORI '!H116</f>
        <v>0</v>
      </c>
      <c r="J160" s="1864">
        <f>'ORI '!I116</f>
        <v>555</v>
      </c>
      <c r="K160" s="1750"/>
    </row>
    <row r="161" spans="1:11" s="1311" customFormat="1" ht="15" customHeight="1">
      <c r="A161" s="1316">
        <v>3556</v>
      </c>
      <c r="B161" s="1508">
        <v>3111</v>
      </c>
      <c r="C161" s="1536" t="s">
        <v>1180</v>
      </c>
      <c r="D161" s="1537">
        <v>35</v>
      </c>
      <c r="E161" s="1541" t="s">
        <v>136</v>
      </c>
      <c r="F161" s="201" t="s">
        <v>1526</v>
      </c>
      <c r="G161" s="1539"/>
      <c r="H161" s="1539"/>
      <c r="I161" s="1540">
        <f>'ORI '!H117</f>
        <v>0</v>
      </c>
      <c r="J161" s="1864">
        <f>'ORI '!I117</f>
        <v>2642</v>
      </c>
      <c r="K161" s="1750"/>
    </row>
    <row r="162" spans="1:11" s="1311" customFormat="1" ht="15" customHeight="1">
      <c r="A162" s="1316">
        <v>3525</v>
      </c>
      <c r="B162" s="1508">
        <v>2212</v>
      </c>
      <c r="C162" s="1536" t="s">
        <v>465</v>
      </c>
      <c r="D162" s="1537">
        <v>35</v>
      </c>
      <c r="E162" s="1541" t="s">
        <v>136</v>
      </c>
      <c r="F162" s="201" t="s">
        <v>1150</v>
      </c>
      <c r="G162" s="1539"/>
      <c r="H162" s="1539"/>
      <c r="I162" s="1540">
        <f>'ORI '!H35</f>
        <v>8200</v>
      </c>
      <c r="J162" s="1864">
        <f>'ORI '!I35</f>
        <v>8200</v>
      </c>
      <c r="K162" s="1750"/>
    </row>
    <row r="163" spans="1:11" s="1311" customFormat="1" ht="15" customHeight="1">
      <c r="A163" s="1316">
        <v>3526</v>
      </c>
      <c r="B163" s="1508">
        <v>2219</v>
      </c>
      <c r="C163" s="1536" t="s">
        <v>465</v>
      </c>
      <c r="D163" s="1537">
        <v>35</v>
      </c>
      <c r="E163" s="1541" t="s">
        <v>136</v>
      </c>
      <c r="F163" s="201" t="s">
        <v>1151</v>
      </c>
      <c r="G163" s="1539"/>
      <c r="H163" s="1539"/>
      <c r="I163" s="1540">
        <f>'ORI '!H36</f>
        <v>6200</v>
      </c>
      <c r="J163" s="1864">
        <f>'ORI '!I36</f>
        <v>6200</v>
      </c>
      <c r="K163" s="1750"/>
    </row>
    <row r="164" spans="1:11" s="1311" customFormat="1" ht="15" customHeight="1">
      <c r="A164" s="1316">
        <v>3527</v>
      </c>
      <c r="B164" s="1508">
        <v>2219</v>
      </c>
      <c r="C164" s="1536" t="s">
        <v>465</v>
      </c>
      <c r="D164" s="1537">
        <v>35</v>
      </c>
      <c r="E164" s="1541" t="s">
        <v>136</v>
      </c>
      <c r="F164" s="201" t="s">
        <v>1211</v>
      </c>
      <c r="G164" s="1539">
        <f>SUM('ORI '!F37)</f>
        <v>0</v>
      </c>
      <c r="H164" s="1539">
        <f>SUM('ORI '!G37)</f>
        <v>0</v>
      </c>
      <c r="I164" s="1540">
        <f>SUM('ORI '!H37)</f>
        <v>32000</v>
      </c>
      <c r="J164" s="1864">
        <f>SUM('ORI '!I37)</f>
        <v>32000</v>
      </c>
      <c r="K164" s="1750"/>
    </row>
    <row r="165" spans="1:11" s="1311" customFormat="1" ht="15" customHeight="1">
      <c r="A165" s="1316"/>
      <c r="B165" s="1508">
        <v>3113</v>
      </c>
      <c r="C165" s="1536" t="s">
        <v>1180</v>
      </c>
      <c r="D165" s="1537">
        <v>35</v>
      </c>
      <c r="E165" s="1541" t="s">
        <v>136</v>
      </c>
      <c r="F165" s="201" t="s">
        <v>298</v>
      </c>
      <c r="G165" s="1539">
        <f>'ORI '!F120</f>
        <v>7500</v>
      </c>
      <c r="H165" s="1539">
        <f>'ORI '!G120</f>
        <v>5664.4619999999986</v>
      </c>
      <c r="I165" s="1540">
        <f>'ORI '!H120</f>
        <v>0</v>
      </c>
      <c r="J165" s="1864">
        <f>'ORI '!I120</f>
        <v>0</v>
      </c>
      <c r="K165" s="1750"/>
    </row>
    <row r="166" spans="1:11" s="1311" customFormat="1" ht="15" customHeight="1">
      <c r="A166" s="1316"/>
      <c r="B166" s="1508">
        <v>3113</v>
      </c>
      <c r="C166" s="1536" t="s">
        <v>1180</v>
      </c>
      <c r="D166" s="1537">
        <v>35</v>
      </c>
      <c r="E166" s="1541" t="s">
        <v>136</v>
      </c>
      <c r="F166" s="201" t="s">
        <v>1144</v>
      </c>
      <c r="G166" s="1539" t="e">
        <f>'ORI '!#REF!</f>
        <v>#REF!</v>
      </c>
      <c r="H166" s="1539" t="e">
        <f>'ORI '!#REF!</f>
        <v>#REF!</v>
      </c>
      <c r="I166" s="1540">
        <f>'ORI '!H47</f>
        <v>646</v>
      </c>
      <c r="J166" s="1864">
        <f>'ORI '!I47</f>
        <v>646</v>
      </c>
      <c r="K166" s="1750"/>
    </row>
    <row r="167" spans="1:11" s="1311" customFormat="1" ht="15" customHeight="1">
      <c r="A167" s="1316"/>
      <c r="B167" s="1508">
        <v>3113</v>
      </c>
      <c r="C167" s="1536" t="s">
        <v>1180</v>
      </c>
      <c r="D167" s="1537">
        <v>35</v>
      </c>
      <c r="E167" s="1541" t="s">
        <v>136</v>
      </c>
      <c r="F167" s="201" t="s">
        <v>1145</v>
      </c>
      <c r="G167" s="1539">
        <f>'ORI '!F78</f>
        <v>0</v>
      </c>
      <c r="H167" s="1539">
        <f>'ORI '!G78</f>
        <v>0</v>
      </c>
      <c r="I167" s="1540">
        <f>'ORI '!H78</f>
        <v>6035</v>
      </c>
      <c r="J167" s="1864">
        <f>'ORI '!I78</f>
        <v>6035</v>
      </c>
      <c r="K167" s="1750"/>
    </row>
    <row r="168" spans="1:11" s="1311" customFormat="1" ht="15" customHeight="1">
      <c r="A168" s="1316"/>
      <c r="B168" s="1508">
        <v>3113</v>
      </c>
      <c r="C168" s="1536" t="s">
        <v>1180</v>
      </c>
      <c r="D168" s="1537">
        <v>35</v>
      </c>
      <c r="E168" s="1541" t="s">
        <v>136</v>
      </c>
      <c r="F168" s="201" t="s">
        <v>1156</v>
      </c>
      <c r="G168" s="1539">
        <f>'ORI '!F45</f>
        <v>0</v>
      </c>
      <c r="H168" s="1539">
        <f>'ORI '!G45</f>
        <v>0</v>
      </c>
      <c r="I168" s="1540">
        <f>'ORI '!H45</f>
        <v>13515</v>
      </c>
      <c r="J168" s="1864">
        <f>'ORI '!I45</f>
        <v>13515</v>
      </c>
      <c r="K168" s="1750"/>
    </row>
    <row r="169" spans="1:11" s="1311" customFormat="1" ht="15" customHeight="1">
      <c r="A169" s="1316"/>
      <c r="B169" s="1508">
        <v>3113</v>
      </c>
      <c r="C169" s="1536" t="s">
        <v>1180</v>
      </c>
      <c r="D169" s="1537">
        <v>35</v>
      </c>
      <c r="E169" s="1541" t="s">
        <v>136</v>
      </c>
      <c r="F169" s="201" t="s">
        <v>1146</v>
      </c>
      <c r="G169" s="1539">
        <f>'ORI '!F79</f>
        <v>0</v>
      </c>
      <c r="H169" s="1539">
        <f>'ORI '!G79</f>
        <v>0</v>
      </c>
      <c r="I169" s="1540">
        <f>'ORI '!H79</f>
        <v>4590</v>
      </c>
      <c r="J169" s="1864">
        <f>'ORI '!I79</f>
        <v>4590</v>
      </c>
      <c r="K169" s="1750"/>
    </row>
    <row r="170" spans="1:11" s="1311" customFormat="1" ht="15" customHeight="1">
      <c r="A170" s="1316"/>
      <c r="B170" s="1508">
        <v>3113</v>
      </c>
      <c r="C170" s="1536" t="s">
        <v>1180</v>
      </c>
      <c r="D170" s="1537">
        <v>35</v>
      </c>
      <c r="E170" s="1541" t="s">
        <v>136</v>
      </c>
      <c r="F170" s="201" t="s">
        <v>1157</v>
      </c>
      <c r="G170" s="1539">
        <f>'ORI '!F44</f>
        <v>0</v>
      </c>
      <c r="H170" s="1539">
        <f>'ORI '!G44</f>
        <v>0</v>
      </c>
      <c r="I170" s="1540">
        <f>'ORI '!H44</f>
        <v>8755</v>
      </c>
      <c r="J170" s="1864">
        <f>'ORI '!I44</f>
        <v>8755</v>
      </c>
      <c r="K170" s="1750"/>
    </row>
    <row r="171" spans="1:11" s="1311" customFormat="1" ht="15" customHeight="1">
      <c r="A171" s="1316"/>
      <c r="B171" s="1508">
        <v>3113</v>
      </c>
      <c r="C171" s="1536" t="s">
        <v>1180</v>
      </c>
      <c r="D171" s="1537">
        <v>35</v>
      </c>
      <c r="E171" s="1541" t="s">
        <v>136</v>
      </c>
      <c r="F171" s="201" t="s">
        <v>299</v>
      </c>
      <c r="G171" s="1539">
        <f>'ORI '!F46</f>
        <v>2325</v>
      </c>
      <c r="H171" s="1539">
        <f>'ORI '!G46</f>
        <v>2325</v>
      </c>
      <c r="I171" s="1540">
        <f>'ORI '!H46</f>
        <v>2720</v>
      </c>
      <c r="J171" s="1864">
        <f>'ORI '!I46</f>
        <v>2720</v>
      </c>
      <c r="K171" s="1750"/>
    </row>
    <row r="172" spans="1:11" s="1311" customFormat="1">
      <c r="A172" s="1316"/>
      <c r="B172" s="1508">
        <v>3113</v>
      </c>
      <c r="C172" s="1536" t="s">
        <v>1180</v>
      </c>
      <c r="D172" s="1537">
        <v>35</v>
      </c>
      <c r="E172" s="1541" t="s">
        <v>136</v>
      </c>
      <c r="F172" s="201" t="s">
        <v>300</v>
      </c>
      <c r="G172" s="1539">
        <f>'ORI '!F80</f>
        <v>1000</v>
      </c>
      <c r="H172" s="1539">
        <f>'ORI '!G80</f>
        <v>1000</v>
      </c>
      <c r="I172" s="1540">
        <f>'ORI '!H80</f>
        <v>5950</v>
      </c>
      <c r="J172" s="1864">
        <f>'ORI '!I80</f>
        <v>5950</v>
      </c>
      <c r="K172" s="1750"/>
    </row>
    <row r="173" spans="1:11" s="1311" customFormat="1">
      <c r="A173" s="1316"/>
      <c r="B173" s="1508">
        <v>3111</v>
      </c>
      <c r="C173" s="1536" t="s">
        <v>1180</v>
      </c>
      <c r="D173" s="1537">
        <v>35</v>
      </c>
      <c r="E173" s="1541" t="s">
        <v>136</v>
      </c>
      <c r="F173" s="201" t="s">
        <v>301</v>
      </c>
      <c r="G173" s="1539">
        <f>'ORI '!F121</f>
        <v>6900</v>
      </c>
      <c r="H173" s="1539">
        <f>'ORI '!G121</f>
        <v>5550</v>
      </c>
      <c r="I173" s="1540">
        <f>'ORI '!H121</f>
        <v>0</v>
      </c>
      <c r="J173" s="1864">
        <f>'ORI '!I121</f>
        <v>0</v>
      </c>
      <c r="K173" s="1750"/>
    </row>
    <row r="174" spans="1:11" s="1311" customFormat="1">
      <c r="A174" s="1316"/>
      <c r="B174" s="1508">
        <v>3111</v>
      </c>
      <c r="C174" s="1536" t="s">
        <v>1180</v>
      </c>
      <c r="D174" s="1537">
        <v>35</v>
      </c>
      <c r="E174" s="1541" t="s">
        <v>136</v>
      </c>
      <c r="F174" s="201" t="s">
        <v>1147</v>
      </c>
      <c r="G174" s="1539">
        <f>'ORI '!F81</f>
        <v>0</v>
      </c>
      <c r="H174" s="1539">
        <f>'ORI '!G81</f>
        <v>0</v>
      </c>
      <c r="I174" s="1540">
        <f>'ORI '!H81</f>
        <v>9585</v>
      </c>
      <c r="J174" s="1864">
        <f>'ORI '!I81</f>
        <v>9585</v>
      </c>
      <c r="K174" s="1750"/>
    </row>
    <row r="175" spans="1:11" s="1311" customFormat="1" ht="16.5" customHeight="1">
      <c r="A175" s="1316"/>
      <c r="B175" s="1692"/>
      <c r="C175" s="1547" t="s">
        <v>228</v>
      </c>
      <c r="D175" s="1537">
        <v>35</v>
      </c>
      <c r="E175" s="1541" t="s">
        <v>136</v>
      </c>
      <c r="F175" s="1524" t="s">
        <v>1451</v>
      </c>
      <c r="G175" s="1550"/>
      <c r="H175" s="1550"/>
      <c r="I175" s="1551">
        <f>'ORI '!H48</f>
        <v>1000</v>
      </c>
      <c r="J175" s="1865">
        <f>'ORI '!I48</f>
        <v>1000</v>
      </c>
      <c r="K175" s="1750"/>
    </row>
    <row r="176" spans="1:11" s="1311" customFormat="1">
      <c r="A176" s="1316"/>
      <c r="B176" s="1692"/>
      <c r="C176" s="1547" t="s">
        <v>228</v>
      </c>
      <c r="D176" s="1537">
        <v>35</v>
      </c>
      <c r="E176" s="1541" t="s">
        <v>136</v>
      </c>
      <c r="F176" s="1524" t="s">
        <v>1452</v>
      </c>
      <c r="G176" s="1550"/>
      <c r="H176" s="1550"/>
      <c r="I176" s="1551">
        <f>'ORI '!H49</f>
        <v>1000</v>
      </c>
      <c r="J176" s="1865">
        <f>'ORI '!I49</f>
        <v>1000</v>
      </c>
      <c r="K176" s="1750"/>
    </row>
    <row r="177" spans="1:11" s="1311" customFormat="1">
      <c r="A177" s="1316"/>
      <c r="B177" s="1565">
        <v>3699</v>
      </c>
      <c r="C177" s="1547" t="s">
        <v>228</v>
      </c>
      <c r="D177" s="1548">
        <v>35</v>
      </c>
      <c r="E177" s="1549" t="s">
        <v>136</v>
      </c>
      <c r="F177" s="1524" t="s">
        <v>1158</v>
      </c>
      <c r="G177" s="1550">
        <f>'ORI '!F50</f>
        <v>0</v>
      </c>
      <c r="H177" s="1550">
        <f>'ORI '!G50</f>
        <v>0</v>
      </c>
      <c r="I177" s="1551">
        <f>'ORI '!H50</f>
        <v>5355</v>
      </c>
      <c r="J177" s="1865">
        <f>'ORI '!I50</f>
        <v>5355</v>
      </c>
      <c r="K177" s="1750"/>
    </row>
    <row r="178" spans="1:11" s="1311" customFormat="1">
      <c r="A178" s="1316"/>
      <c r="B178" s="1514">
        <v>2219</v>
      </c>
      <c r="C178" s="1536" t="s">
        <v>228</v>
      </c>
      <c r="D178" s="1537">
        <v>35</v>
      </c>
      <c r="E178" s="1541" t="s">
        <v>136</v>
      </c>
      <c r="F178" s="201" t="s">
        <v>234</v>
      </c>
      <c r="G178" s="1539">
        <f>'ORI '!F83</f>
        <v>400</v>
      </c>
      <c r="H178" s="1539">
        <f>'ORI '!G83</f>
        <v>0</v>
      </c>
      <c r="I178" s="1540">
        <f>'ORI '!H83</f>
        <v>0</v>
      </c>
      <c r="J178" s="1864">
        <f>'ORI '!I83</f>
        <v>0</v>
      </c>
      <c r="K178" s="1750"/>
    </row>
    <row r="179" spans="1:11" s="1311" customFormat="1">
      <c r="A179" s="1316">
        <v>3553</v>
      </c>
      <c r="B179" s="1508">
        <v>2333</v>
      </c>
      <c r="C179" s="1536" t="s">
        <v>228</v>
      </c>
      <c r="D179" s="1537">
        <v>35</v>
      </c>
      <c r="E179" s="1541" t="s">
        <v>136</v>
      </c>
      <c r="F179" s="201" t="s">
        <v>302</v>
      </c>
      <c r="G179" s="1539">
        <f>'ORI '!F84</f>
        <v>1300</v>
      </c>
      <c r="H179" s="1539">
        <f>'ORI '!G84</f>
        <v>1300</v>
      </c>
      <c r="I179" s="1540">
        <f>'ORI '!H84</f>
        <v>0</v>
      </c>
      <c r="J179" s="1864">
        <f>'ORI '!I84</f>
        <v>1287</v>
      </c>
      <c r="K179" s="1750"/>
    </row>
    <row r="180" spans="1:11" s="1311" customFormat="1">
      <c r="A180" s="1316">
        <v>3554</v>
      </c>
      <c r="B180" s="1508">
        <v>3741</v>
      </c>
      <c r="C180" s="1536" t="s">
        <v>228</v>
      </c>
      <c r="D180" s="1537">
        <v>35</v>
      </c>
      <c r="E180" s="1541" t="s">
        <v>136</v>
      </c>
      <c r="F180" s="201" t="s">
        <v>303</v>
      </c>
      <c r="G180" s="1539">
        <f>'ORI '!F85</f>
        <v>348</v>
      </c>
      <c r="H180" s="1539">
        <f>'ORI '!G85</f>
        <v>348</v>
      </c>
      <c r="I180" s="1540">
        <f>'ORI '!H85</f>
        <v>0</v>
      </c>
      <c r="J180" s="1864">
        <f>'ORI '!I85</f>
        <v>348</v>
      </c>
      <c r="K180" s="1750"/>
    </row>
    <row r="181" spans="1:11" s="1311" customFormat="1">
      <c r="A181" s="1316"/>
      <c r="B181" s="1508"/>
      <c r="C181" s="1536" t="s">
        <v>228</v>
      </c>
      <c r="D181" s="1537">
        <v>35</v>
      </c>
      <c r="E181" s="1541" t="s">
        <v>136</v>
      </c>
      <c r="F181" s="201" t="s">
        <v>306</v>
      </c>
      <c r="G181" s="1539">
        <f>'ORI '!F88</f>
        <v>0</v>
      </c>
      <c r="H181" s="1539">
        <f>'ORI '!G88</f>
        <v>12000</v>
      </c>
      <c r="I181" s="1540">
        <f>'ORI '!H88</f>
        <v>0</v>
      </c>
      <c r="J181" s="1864">
        <f>'ORI '!I88</f>
        <v>16000</v>
      </c>
      <c r="K181" s="1750"/>
    </row>
    <row r="182" spans="1:11" s="1311" customFormat="1">
      <c r="A182" s="1316">
        <v>3972</v>
      </c>
      <c r="B182" s="1508">
        <v>3613</v>
      </c>
      <c r="C182" s="1536" t="s">
        <v>228</v>
      </c>
      <c r="D182" s="1537">
        <v>35</v>
      </c>
      <c r="E182" s="1541" t="s">
        <v>136</v>
      </c>
      <c r="F182" s="201" t="s">
        <v>309</v>
      </c>
      <c r="G182" s="1539">
        <f>'ORI '!F89</f>
        <v>0</v>
      </c>
      <c r="H182" s="1539">
        <f>'ORI '!G89</f>
        <v>13370</v>
      </c>
      <c r="I182" s="1540">
        <f>'ORI '!H89</f>
        <v>0</v>
      </c>
      <c r="J182" s="1864">
        <f>'ORI '!I89</f>
        <v>1822</v>
      </c>
      <c r="K182" s="1750"/>
    </row>
    <row r="183" spans="1:11" s="1311" customFormat="1">
      <c r="A183" s="1316"/>
      <c r="B183" s="1508">
        <v>3111</v>
      </c>
      <c r="C183" s="1536" t="s">
        <v>228</v>
      </c>
      <c r="D183" s="1537">
        <v>35</v>
      </c>
      <c r="E183" s="1541" t="s">
        <v>136</v>
      </c>
      <c r="F183" s="201" t="s">
        <v>313</v>
      </c>
      <c r="G183" s="1539">
        <f>'ORI '!F92</f>
        <v>0</v>
      </c>
      <c r="H183" s="1539">
        <f>'ORI '!G92</f>
        <v>4310</v>
      </c>
      <c r="I183" s="1540">
        <f>'ORI '!H92</f>
        <v>0</v>
      </c>
      <c r="J183" s="1864">
        <f>'ORI '!I92</f>
        <v>0</v>
      </c>
      <c r="K183" s="1750"/>
    </row>
    <row r="184" spans="1:11" s="1311" customFormat="1">
      <c r="A184" s="1316"/>
      <c r="B184" s="1508"/>
      <c r="C184" s="1536" t="s">
        <v>228</v>
      </c>
      <c r="D184" s="1537">
        <v>35</v>
      </c>
      <c r="E184" s="1541" t="s">
        <v>136</v>
      </c>
      <c r="F184" s="201" t="s">
        <v>315</v>
      </c>
      <c r="G184" s="1539">
        <f>'ORI '!F93</f>
        <v>0</v>
      </c>
      <c r="H184" s="1539">
        <f>'ORI '!G93</f>
        <v>3200</v>
      </c>
      <c r="I184" s="1540">
        <f>'ORI '!H93</f>
        <v>0</v>
      </c>
      <c r="J184" s="1864">
        <f>'ORI '!I93</f>
        <v>3131</v>
      </c>
      <c r="K184" s="1750"/>
    </row>
    <row r="185" spans="1:11" s="1311" customFormat="1">
      <c r="A185" s="1316"/>
      <c r="B185" s="1508">
        <v>3111</v>
      </c>
      <c r="C185" s="1536" t="s">
        <v>228</v>
      </c>
      <c r="D185" s="1537">
        <v>35</v>
      </c>
      <c r="E185" s="1541" t="s">
        <v>136</v>
      </c>
      <c r="F185" s="201" t="s">
        <v>317</v>
      </c>
      <c r="G185" s="1539">
        <f>'ORI '!F94</f>
        <v>0</v>
      </c>
      <c r="H185" s="1539">
        <f>'ORI '!G94</f>
        <v>2780</v>
      </c>
      <c r="I185" s="1540">
        <f>'ORI '!H94</f>
        <v>0</v>
      </c>
      <c r="J185" s="1864">
        <f>'ORI '!I94</f>
        <v>0</v>
      </c>
      <c r="K185" s="1750"/>
    </row>
    <row r="186" spans="1:11" s="1311" customFormat="1">
      <c r="A186" s="1316"/>
      <c r="B186" s="1508">
        <v>3111</v>
      </c>
      <c r="C186" s="1536" t="s">
        <v>228</v>
      </c>
      <c r="D186" s="1537">
        <v>35</v>
      </c>
      <c r="E186" s="1541" t="s">
        <v>136</v>
      </c>
      <c r="F186" s="201" t="s">
        <v>319</v>
      </c>
      <c r="G186" s="1539">
        <f>'ORI '!F95</f>
        <v>0</v>
      </c>
      <c r="H186" s="1539">
        <f>'ORI '!G95</f>
        <v>2340</v>
      </c>
      <c r="I186" s="1540">
        <f>'ORI '!H95</f>
        <v>0</v>
      </c>
      <c r="J186" s="1864">
        <f>'ORI '!I95</f>
        <v>0</v>
      </c>
      <c r="K186" s="1750"/>
    </row>
    <row r="187" spans="1:11" s="1311" customFormat="1">
      <c r="A187" s="1316">
        <v>4084</v>
      </c>
      <c r="B187" s="1508" t="s">
        <v>165</v>
      </c>
      <c r="C187" s="1536" t="s">
        <v>228</v>
      </c>
      <c r="D187" s="1537">
        <v>37</v>
      </c>
      <c r="E187" s="1538" t="s">
        <v>126</v>
      </c>
      <c r="F187" s="201" t="s">
        <v>780</v>
      </c>
      <c r="G187" s="1539">
        <f>ÚÚPaSÚ!F11</f>
        <v>3033</v>
      </c>
      <c r="H187" s="1539">
        <f>ÚÚPaSÚ!G11</f>
        <v>3033</v>
      </c>
      <c r="I187" s="1540">
        <f>ÚÚPaSÚ!H11</f>
        <v>3330</v>
      </c>
      <c r="J187" s="1540">
        <f>ÚÚPaSÚ!I11</f>
        <v>3330</v>
      </c>
    </row>
    <row r="188" spans="1:11" s="1311" customFormat="1">
      <c r="A188" s="1316">
        <v>3700</v>
      </c>
      <c r="B188" s="1508">
        <v>3699</v>
      </c>
      <c r="C188" s="1536" t="s">
        <v>228</v>
      </c>
      <c r="D188" s="1537">
        <v>37</v>
      </c>
      <c r="E188" s="1538" t="s">
        <v>126</v>
      </c>
      <c r="F188" s="201" t="s">
        <v>782</v>
      </c>
      <c r="G188" s="1539">
        <f>ÚÚPaSÚ!F14</f>
        <v>130</v>
      </c>
      <c r="H188" s="1539">
        <f>ÚÚPaSÚ!G14</f>
        <v>130</v>
      </c>
      <c r="I188" s="1540">
        <f>ÚÚPaSÚ!H14</f>
        <v>130</v>
      </c>
      <c r="J188" s="1540">
        <f>ÚÚPaSÚ!I14</f>
        <v>130</v>
      </c>
    </row>
    <row r="189" spans="1:11" s="1311" customFormat="1">
      <c r="A189" s="1316">
        <v>3701</v>
      </c>
      <c r="B189" s="1508">
        <v>6171</v>
      </c>
      <c r="C189" s="1536" t="s">
        <v>125</v>
      </c>
      <c r="D189" s="1537">
        <v>37</v>
      </c>
      <c r="E189" s="1538" t="s">
        <v>126</v>
      </c>
      <c r="F189" s="201" t="s">
        <v>784</v>
      </c>
      <c r="G189" s="1539">
        <f>ÚÚPaSÚ!F18</f>
        <v>140</v>
      </c>
      <c r="H189" s="1539">
        <f>ÚÚPaSÚ!G18</f>
        <v>138.31858</v>
      </c>
      <c r="I189" s="1540">
        <f>ÚÚPaSÚ!H18</f>
        <v>143</v>
      </c>
      <c r="J189" s="1540">
        <f>ÚÚPaSÚ!I18</f>
        <v>143</v>
      </c>
    </row>
    <row r="190" spans="1:11" s="1311" customFormat="1">
      <c r="A190" s="1316">
        <v>3701</v>
      </c>
      <c r="B190" s="1508">
        <v>6171</v>
      </c>
      <c r="C190" s="1536" t="s">
        <v>125</v>
      </c>
      <c r="D190" s="1537">
        <v>37</v>
      </c>
      <c r="E190" s="1541" t="s">
        <v>136</v>
      </c>
      <c r="F190" s="201" t="s">
        <v>789</v>
      </c>
      <c r="G190" s="1539">
        <f>SUM(ÚÚPaSÚ!F29)</f>
        <v>0</v>
      </c>
      <c r="H190" s="1539">
        <f>SUM(ÚÚPaSÚ!G29)</f>
        <v>0</v>
      </c>
      <c r="I190" s="1540">
        <f>SUM(ÚÚPaSÚ!H29)</f>
        <v>350</v>
      </c>
      <c r="J190" s="1540">
        <f>SUM(ÚÚPaSÚ!I29)</f>
        <v>350</v>
      </c>
    </row>
    <row r="191" spans="1:11" s="1311" customFormat="1">
      <c r="A191" s="1316">
        <v>3700</v>
      </c>
      <c r="B191" s="1508">
        <v>5212</v>
      </c>
      <c r="C191" s="1536" t="s">
        <v>140</v>
      </c>
      <c r="D191" s="1537">
        <v>37</v>
      </c>
      <c r="E191" s="1541" t="s">
        <v>136</v>
      </c>
      <c r="F191" s="201" t="s">
        <v>787</v>
      </c>
      <c r="G191" s="1539">
        <f>ÚÚPaSÚ!F30</f>
        <v>0</v>
      </c>
      <c r="H191" s="1539">
        <f>ÚÚPaSÚ!G30</f>
        <v>20.52</v>
      </c>
      <c r="I191" s="1540">
        <f>ÚÚPaSÚ!H30</f>
        <v>0</v>
      </c>
      <c r="J191" s="1540">
        <f>ÚÚPaSÚ!I30</f>
        <v>0</v>
      </c>
    </row>
    <row r="192" spans="1:11" s="1311" customFormat="1">
      <c r="A192" s="1315">
        <v>2882.2885000000001</v>
      </c>
      <c r="B192" s="1508">
        <v>3612</v>
      </c>
      <c r="C192" s="1536" t="s">
        <v>228</v>
      </c>
      <c r="D192" s="1537">
        <v>39</v>
      </c>
      <c r="E192" s="1538" t="s">
        <v>126</v>
      </c>
      <c r="F192" s="201" t="s">
        <v>549</v>
      </c>
      <c r="G192" s="1539">
        <f>OMM!F11</f>
        <v>110</v>
      </c>
      <c r="H192" s="1539">
        <f>OMM!G11</f>
        <v>110</v>
      </c>
      <c r="I192" s="1540">
        <f>OMM!H11</f>
        <v>110</v>
      </c>
      <c r="J192" s="1540">
        <f>OMM!I11</f>
        <v>110</v>
      </c>
    </row>
    <row r="193" spans="1:10" s="1311" customFormat="1">
      <c r="A193" s="1316">
        <v>7026</v>
      </c>
      <c r="B193" s="1508">
        <v>3699.2219</v>
      </c>
      <c r="C193" s="1536" t="s">
        <v>228</v>
      </c>
      <c r="D193" s="1537">
        <v>39</v>
      </c>
      <c r="E193" s="1538" t="s">
        <v>126</v>
      </c>
      <c r="F193" s="201" t="s">
        <v>556</v>
      </c>
      <c r="G193" s="1539">
        <f>OMM!F19</f>
        <v>4622</v>
      </c>
      <c r="H193" s="1539">
        <f>OMM!G19</f>
        <v>5283.58</v>
      </c>
      <c r="I193" s="1540">
        <f>OMM!H19</f>
        <v>3360</v>
      </c>
      <c r="J193" s="1540">
        <f>OMM!I19</f>
        <v>3810</v>
      </c>
    </row>
    <row r="194" spans="1:10" s="1311" customFormat="1">
      <c r="A194" s="1316">
        <v>2861</v>
      </c>
      <c r="B194" s="1508">
        <v>3613</v>
      </c>
      <c r="C194" s="1536" t="s">
        <v>228</v>
      </c>
      <c r="D194" s="1537">
        <v>39</v>
      </c>
      <c r="E194" s="1538" t="s">
        <v>126</v>
      </c>
      <c r="F194" s="201" t="s">
        <v>568</v>
      </c>
      <c r="G194" s="1539">
        <f>OMM!F33</f>
        <v>7180</v>
      </c>
      <c r="H194" s="1539">
        <f>OMM!G33</f>
        <v>7003.4020499999997</v>
      </c>
      <c r="I194" s="1540">
        <f>OMM!H33</f>
        <v>12875</v>
      </c>
      <c r="J194" s="1540">
        <f>OMM!I33</f>
        <v>20676</v>
      </c>
    </row>
    <row r="195" spans="1:10" s="1311" customFormat="1">
      <c r="A195" s="1316">
        <v>2860</v>
      </c>
      <c r="B195" s="1508" t="s">
        <v>771</v>
      </c>
      <c r="C195" s="1536" t="s">
        <v>1180</v>
      </c>
      <c r="D195" s="1537">
        <v>39</v>
      </c>
      <c r="E195" s="1538" t="s">
        <v>126</v>
      </c>
      <c r="F195" s="201" t="s">
        <v>576</v>
      </c>
      <c r="G195" s="1539">
        <f>OMM!F40</f>
        <v>10400</v>
      </c>
      <c r="H195" s="1539">
        <f>OMM!G40</f>
        <v>10872.97766</v>
      </c>
      <c r="I195" s="1540">
        <f>OMM!H40</f>
        <v>9900</v>
      </c>
      <c r="J195" s="1540">
        <f>OMM!I40</f>
        <v>9961</v>
      </c>
    </row>
    <row r="196" spans="1:10" s="1311" customFormat="1">
      <c r="A196" s="1316">
        <v>3698</v>
      </c>
      <c r="B196" s="1508">
        <v>3699</v>
      </c>
      <c r="C196" s="1536" t="s">
        <v>228</v>
      </c>
      <c r="D196" s="1537">
        <v>39</v>
      </c>
      <c r="E196" s="1538" t="s">
        <v>126</v>
      </c>
      <c r="F196" s="201" t="s">
        <v>770</v>
      </c>
      <c r="G196" s="1539">
        <f>OMM!F41</f>
        <v>720</v>
      </c>
      <c r="H196" s="1539">
        <f>OMM!G41</f>
        <v>720</v>
      </c>
      <c r="I196" s="1540">
        <f>OMM!H41</f>
        <v>0</v>
      </c>
      <c r="J196" s="1540">
        <f>OMM!I41</f>
        <v>0</v>
      </c>
    </row>
    <row r="197" spans="1:10" s="1311" customFormat="1">
      <c r="A197" s="1310">
        <v>289</v>
      </c>
      <c r="B197" s="1508">
        <v>3612</v>
      </c>
      <c r="C197" s="1536" t="s">
        <v>228</v>
      </c>
      <c r="D197" s="1537">
        <v>39</v>
      </c>
      <c r="E197" s="1538" t="s">
        <v>126</v>
      </c>
      <c r="F197" s="201" t="s">
        <v>584</v>
      </c>
      <c r="G197" s="1539">
        <f>OMM!F47</f>
        <v>430</v>
      </c>
      <c r="H197" s="1539">
        <f>OMM!G47</f>
        <v>3530</v>
      </c>
      <c r="I197" s="1540">
        <f>OMM!H47</f>
        <v>1030</v>
      </c>
      <c r="J197" s="1540">
        <f>OMM!I47</f>
        <v>1030</v>
      </c>
    </row>
    <row r="198" spans="1:10" s="1311" customFormat="1" ht="14.25" customHeight="1">
      <c r="A198" s="1317" t="s">
        <v>774</v>
      </c>
      <c r="B198" s="1508">
        <v>3639.6408999999999</v>
      </c>
      <c r="C198" s="1536" t="s">
        <v>228</v>
      </c>
      <c r="D198" s="1537">
        <v>39</v>
      </c>
      <c r="E198" s="1538" t="s">
        <v>126</v>
      </c>
      <c r="F198" s="201" t="s">
        <v>604</v>
      </c>
      <c r="G198" s="1539">
        <f>OMM!F65</f>
        <v>10065</v>
      </c>
      <c r="H198" s="1539">
        <f>OMM!G65</f>
        <v>10022</v>
      </c>
      <c r="I198" s="1540">
        <f>OMM!H65</f>
        <v>8510</v>
      </c>
      <c r="J198" s="1540">
        <f>OMM!I65</f>
        <v>8510</v>
      </c>
    </row>
    <row r="199" spans="1:10" s="1311" customFormat="1">
      <c r="A199" s="1310">
        <v>9540</v>
      </c>
      <c r="B199" s="1508">
        <v>3699</v>
      </c>
      <c r="C199" s="1536" t="s">
        <v>228</v>
      </c>
      <c r="D199" s="1537">
        <v>39</v>
      </c>
      <c r="E199" s="1538" t="s">
        <v>126</v>
      </c>
      <c r="F199" s="201" t="s">
        <v>607</v>
      </c>
      <c r="G199" s="1539">
        <f>OMM!F69</f>
        <v>0</v>
      </c>
      <c r="H199" s="1539">
        <f>OMM!G69</f>
        <v>2800</v>
      </c>
      <c r="I199" s="1540">
        <f>OMM!H69</f>
        <v>4800</v>
      </c>
      <c r="J199" s="1540">
        <f>OMM!I69</f>
        <v>4800</v>
      </c>
    </row>
    <row r="200" spans="1:10" s="1311" customFormat="1">
      <c r="A200" s="1310">
        <v>9515</v>
      </c>
      <c r="B200" s="1508">
        <v>3613</v>
      </c>
      <c r="C200" s="1536" t="s">
        <v>228</v>
      </c>
      <c r="D200" s="1537">
        <v>39</v>
      </c>
      <c r="E200" s="1538" t="s">
        <v>126</v>
      </c>
      <c r="F200" s="201" t="s">
        <v>765</v>
      </c>
      <c r="G200" s="1539">
        <f>OMM!F74</f>
        <v>0</v>
      </c>
      <c r="H200" s="1539">
        <f>OMM!G74</f>
        <v>450</v>
      </c>
      <c r="I200" s="1540">
        <f>OMM!H74</f>
        <v>220</v>
      </c>
      <c r="J200" s="1540">
        <f>OMM!I74</f>
        <v>220</v>
      </c>
    </row>
    <row r="201" spans="1:10" s="1311" customFormat="1">
      <c r="A201" s="1310">
        <v>2867</v>
      </c>
      <c r="B201" s="1508">
        <v>3699</v>
      </c>
      <c r="C201" s="1536" t="s">
        <v>228</v>
      </c>
      <c r="D201" s="1537">
        <v>39</v>
      </c>
      <c r="E201" s="1538" t="s">
        <v>126</v>
      </c>
      <c r="F201" s="201" t="s">
        <v>619</v>
      </c>
      <c r="G201" s="1539">
        <f>OMM!F79</f>
        <v>14000</v>
      </c>
      <c r="H201" s="1539">
        <f>OMM!G79</f>
        <v>19750</v>
      </c>
      <c r="I201" s="1540">
        <f>OMM!H79</f>
        <v>17620</v>
      </c>
      <c r="J201" s="1540">
        <f>OMM!I79</f>
        <v>24979</v>
      </c>
    </row>
    <row r="202" spans="1:10" s="1311" customFormat="1">
      <c r="A202" s="1310">
        <v>2856</v>
      </c>
      <c r="B202" s="1508">
        <v>6171</v>
      </c>
      <c r="C202" s="1536" t="s">
        <v>125</v>
      </c>
      <c r="D202" s="1537">
        <v>39</v>
      </c>
      <c r="E202" s="1538" t="s">
        <v>126</v>
      </c>
      <c r="F202" s="201" t="s">
        <v>622</v>
      </c>
      <c r="G202" s="1539">
        <f>OMM!F85</f>
        <v>710</v>
      </c>
      <c r="H202" s="1539">
        <f>OMM!G85</f>
        <v>709.39016000000004</v>
      </c>
      <c r="I202" s="1540">
        <f>OMM!H85</f>
        <v>742</v>
      </c>
      <c r="J202" s="1540">
        <f>OMM!I85</f>
        <v>742</v>
      </c>
    </row>
    <row r="203" spans="1:10" s="1311" customFormat="1">
      <c r="A203" s="1310">
        <v>3979</v>
      </c>
      <c r="B203" s="1508">
        <v>2221</v>
      </c>
      <c r="C203" s="1536" t="s">
        <v>465</v>
      </c>
      <c r="D203" s="1537">
        <v>39</v>
      </c>
      <c r="E203" s="1538" t="s">
        <v>126</v>
      </c>
      <c r="F203" s="201" t="s">
        <v>626</v>
      </c>
      <c r="G203" s="1539">
        <f>OMM!F91</f>
        <v>1920</v>
      </c>
      <c r="H203" s="1539">
        <f>OMM!G91</f>
        <v>1920</v>
      </c>
      <c r="I203" s="1540">
        <f>OMM!H91</f>
        <v>2280</v>
      </c>
      <c r="J203" s="1540">
        <f>OMM!I91</f>
        <v>2280</v>
      </c>
    </row>
    <row r="204" spans="1:10" s="1311" customFormat="1">
      <c r="A204" s="1310">
        <v>509</v>
      </c>
      <c r="B204" s="1508">
        <v>3429</v>
      </c>
      <c r="C204" s="1536" t="s">
        <v>1130</v>
      </c>
      <c r="D204" s="1537">
        <v>39</v>
      </c>
      <c r="E204" s="1538" t="s">
        <v>126</v>
      </c>
      <c r="F204" s="201" t="s">
        <v>634</v>
      </c>
      <c r="G204" s="1539">
        <f>OMM!F103</f>
        <v>5841</v>
      </c>
      <c r="H204" s="1539">
        <f>OMM!G103</f>
        <v>8465.155999999999</v>
      </c>
      <c r="I204" s="1540">
        <f>OMM!H103</f>
        <v>5083</v>
      </c>
      <c r="J204" s="1540">
        <f>OMM!I103</f>
        <v>8189</v>
      </c>
    </row>
    <row r="205" spans="1:10" s="1311" customFormat="1">
      <c r="A205" s="1310">
        <v>3625</v>
      </c>
      <c r="B205" s="1508">
        <v>3429</v>
      </c>
      <c r="C205" s="1536" t="s">
        <v>1130</v>
      </c>
      <c r="D205" s="1537">
        <v>39</v>
      </c>
      <c r="E205" s="1538" t="s">
        <v>126</v>
      </c>
      <c r="F205" s="201" t="s">
        <v>638</v>
      </c>
      <c r="G205" s="1539">
        <f>OMM!F111</f>
        <v>348</v>
      </c>
      <c r="H205" s="1539">
        <f>OMM!G111</f>
        <v>448</v>
      </c>
      <c r="I205" s="1540">
        <f>OMM!H111</f>
        <v>579</v>
      </c>
      <c r="J205" s="1540">
        <f>OMM!I111</f>
        <v>579</v>
      </c>
    </row>
    <row r="206" spans="1:10" s="1311" customFormat="1">
      <c r="A206" s="1310">
        <v>4029</v>
      </c>
      <c r="B206" s="1508" t="s">
        <v>772</v>
      </c>
      <c r="C206" s="1536" t="s">
        <v>228</v>
      </c>
      <c r="D206" s="1537">
        <v>39</v>
      </c>
      <c r="E206" s="1538" t="s">
        <v>126</v>
      </c>
      <c r="F206" s="201" t="s">
        <v>641</v>
      </c>
      <c r="G206" s="1539">
        <f>OMM!F114</f>
        <v>200</v>
      </c>
      <c r="H206" s="1539">
        <f>OMM!G114</f>
        <v>1350</v>
      </c>
      <c r="I206" s="1540">
        <f>OMM!H114</f>
        <v>1300</v>
      </c>
      <c r="J206" s="1540">
        <f>OMM!I114</f>
        <v>1300</v>
      </c>
    </row>
    <row r="207" spans="1:10" s="1311" customFormat="1">
      <c r="A207" s="1310">
        <v>560</v>
      </c>
      <c r="B207" s="1508">
        <v>3429</v>
      </c>
      <c r="C207" s="1536" t="s">
        <v>1130</v>
      </c>
      <c r="D207" s="1537">
        <v>39</v>
      </c>
      <c r="E207" s="1538" t="s">
        <v>126</v>
      </c>
      <c r="F207" s="201" t="s">
        <v>649</v>
      </c>
      <c r="G207" s="1539">
        <f>OMM!F128</f>
        <v>6756</v>
      </c>
      <c r="H207" s="1539">
        <f>OMM!G128</f>
        <v>4449.71425</v>
      </c>
      <c r="I207" s="1540">
        <f>OMM!H128</f>
        <v>3145</v>
      </c>
      <c r="J207" s="1540">
        <f>OMM!I128</f>
        <v>3145</v>
      </c>
    </row>
    <row r="208" spans="1:10" s="1311" customFormat="1">
      <c r="A208" s="1310">
        <v>3903</v>
      </c>
      <c r="B208" s="1508">
        <v>3613</v>
      </c>
      <c r="C208" s="1536" t="s">
        <v>228</v>
      </c>
      <c r="D208" s="1537">
        <v>39</v>
      </c>
      <c r="E208" s="1538" t="s">
        <v>126</v>
      </c>
      <c r="F208" s="201" t="s">
        <v>769</v>
      </c>
      <c r="G208" s="1539">
        <f>OMM!F129</f>
        <v>0</v>
      </c>
      <c r="H208" s="1539">
        <f>OMM!G129</f>
        <v>730.81399999999996</v>
      </c>
      <c r="I208" s="1540">
        <f>OMM!H129</f>
        <v>0</v>
      </c>
      <c r="J208" s="1540">
        <f>OMM!I129</f>
        <v>0</v>
      </c>
    </row>
    <row r="209" spans="1:10" s="1311" customFormat="1">
      <c r="A209" s="1310">
        <v>3821</v>
      </c>
      <c r="B209" s="1508">
        <v>3611</v>
      </c>
      <c r="C209" s="1536" t="s">
        <v>228</v>
      </c>
      <c r="D209" s="1537">
        <v>39</v>
      </c>
      <c r="E209" s="1538" t="s">
        <v>126</v>
      </c>
      <c r="F209" s="201" t="s">
        <v>655</v>
      </c>
      <c r="G209" s="1539">
        <f>OMM!F130</f>
        <v>0</v>
      </c>
      <c r="H209" s="1539">
        <f>OMM!G130</f>
        <v>0</v>
      </c>
      <c r="I209" s="1540">
        <f>OMM!H130</f>
        <v>0</v>
      </c>
      <c r="J209" s="1540">
        <f>OMM!I130</f>
        <v>0</v>
      </c>
    </row>
    <row r="210" spans="1:10" s="1311" customFormat="1">
      <c r="A210" s="1310">
        <v>3505</v>
      </c>
      <c r="B210" s="1508">
        <v>2141</v>
      </c>
      <c r="C210" s="1536" t="s">
        <v>773</v>
      </c>
      <c r="D210" s="1537">
        <v>39</v>
      </c>
      <c r="E210" s="1538" t="s">
        <v>126</v>
      </c>
      <c r="F210" s="201" t="s">
        <v>663</v>
      </c>
      <c r="G210" s="1539">
        <f>OMM!F131</f>
        <v>450</v>
      </c>
      <c r="H210" s="1539">
        <f>OMM!G131</f>
        <v>450</v>
      </c>
      <c r="I210" s="1540">
        <f>OMM!H131</f>
        <v>380</v>
      </c>
      <c r="J210" s="1540">
        <f>OMM!I131</f>
        <v>380</v>
      </c>
    </row>
    <row r="211" spans="1:10" s="1311" customFormat="1">
      <c r="A211" s="1310">
        <v>289</v>
      </c>
      <c r="B211" s="1508">
        <v>3612</v>
      </c>
      <c r="C211" s="1536" t="s">
        <v>228</v>
      </c>
      <c r="D211" s="1537">
        <v>39</v>
      </c>
      <c r="E211" s="1541" t="s">
        <v>136</v>
      </c>
      <c r="F211" s="201" t="s">
        <v>666</v>
      </c>
      <c r="G211" s="1539">
        <f>OMM!F145</f>
        <v>2500</v>
      </c>
      <c r="H211" s="1539">
        <f>OMM!G145</f>
        <v>2500</v>
      </c>
      <c r="I211" s="1540">
        <f>OMM!H145</f>
        <v>1000</v>
      </c>
      <c r="J211" s="1866">
        <f>OMM!I145</f>
        <v>1000</v>
      </c>
    </row>
    <row r="212" spans="1:10" s="1311" customFormat="1">
      <c r="A212" s="1310">
        <v>3901</v>
      </c>
      <c r="B212" s="1508">
        <v>3639</v>
      </c>
      <c r="C212" s="1536" t="s">
        <v>228</v>
      </c>
      <c r="D212" s="1537">
        <v>39</v>
      </c>
      <c r="E212" s="1541" t="s">
        <v>136</v>
      </c>
      <c r="F212" s="201" t="s">
        <v>667</v>
      </c>
      <c r="G212" s="1539">
        <f>OMM!F142</f>
        <v>300</v>
      </c>
      <c r="H212" s="1539">
        <f>OMM!G142</f>
        <v>300</v>
      </c>
      <c r="I212" s="1540">
        <f>OMM!H142</f>
        <v>500</v>
      </c>
      <c r="J212" s="1866">
        <f>OMM!I142</f>
        <v>500</v>
      </c>
    </row>
    <row r="213" spans="1:10" s="1311" customFormat="1">
      <c r="A213" s="1310">
        <v>2857</v>
      </c>
      <c r="B213" s="1508">
        <v>3699</v>
      </c>
      <c r="C213" s="1536" t="s">
        <v>228</v>
      </c>
      <c r="D213" s="1537">
        <v>39</v>
      </c>
      <c r="E213" s="1541" t="s">
        <v>136</v>
      </c>
      <c r="F213" s="201" t="s">
        <v>669</v>
      </c>
      <c r="G213" s="1539">
        <f>OMM!F191</f>
        <v>0</v>
      </c>
      <c r="H213" s="1539">
        <f>OMM!G191</f>
        <v>1058.76</v>
      </c>
      <c r="I213" s="1540">
        <f>OMM!H191</f>
        <v>0</v>
      </c>
      <c r="J213" s="1866">
        <f>OMM!I191</f>
        <v>734.76</v>
      </c>
    </row>
    <row r="214" spans="1:10" s="1311" customFormat="1">
      <c r="A214" s="1310">
        <v>3971</v>
      </c>
      <c r="B214" s="1508">
        <v>2212</v>
      </c>
      <c r="C214" s="1536" t="s">
        <v>465</v>
      </c>
      <c r="D214" s="1537">
        <v>39</v>
      </c>
      <c r="E214" s="1541" t="s">
        <v>136</v>
      </c>
      <c r="F214" s="201" t="s">
        <v>670</v>
      </c>
      <c r="G214" s="1539">
        <f>OMM!F143</f>
        <v>1200</v>
      </c>
      <c r="H214" s="1539">
        <f>OMM!G143</f>
        <v>1200</v>
      </c>
      <c r="I214" s="1540">
        <f>OMM!H143</f>
        <v>450</v>
      </c>
      <c r="J214" s="1866">
        <f>OMM!I143</f>
        <v>450</v>
      </c>
    </row>
    <row r="215" spans="1:10" s="1311" customFormat="1">
      <c r="A215" s="1310">
        <v>522</v>
      </c>
      <c r="B215" s="1508">
        <v>3613</v>
      </c>
      <c r="C215" s="1536" t="s">
        <v>228</v>
      </c>
      <c r="D215" s="1537">
        <v>39</v>
      </c>
      <c r="E215" s="1541" t="s">
        <v>136</v>
      </c>
      <c r="F215" s="201" t="s">
        <v>671</v>
      </c>
      <c r="G215" s="1539">
        <f>OMM!F148</f>
        <v>0</v>
      </c>
      <c r="H215" s="1539">
        <f>OMM!G148</f>
        <v>3701</v>
      </c>
      <c r="I215" s="1540">
        <f>OMM!H148</f>
        <v>500</v>
      </c>
      <c r="J215" s="1866">
        <f>OMM!I148</f>
        <v>620</v>
      </c>
    </row>
    <row r="216" spans="1:10" s="1311" customFormat="1">
      <c r="A216" s="1310">
        <v>761</v>
      </c>
      <c r="B216" s="1508">
        <v>3613</v>
      </c>
      <c r="C216" s="1536" t="s">
        <v>228</v>
      </c>
      <c r="D216" s="1537">
        <v>39</v>
      </c>
      <c r="E216" s="1541" t="s">
        <v>136</v>
      </c>
      <c r="F216" s="201" t="s">
        <v>672</v>
      </c>
      <c r="G216" s="1539">
        <f>OMM!F152</f>
        <v>7200</v>
      </c>
      <c r="H216" s="1539">
        <f>OMM!G152</f>
        <v>9372.003349999999</v>
      </c>
      <c r="I216" s="1540">
        <f>OMM!H152</f>
        <v>7700</v>
      </c>
      <c r="J216" s="1866">
        <f>OMM!I152</f>
        <v>7700</v>
      </c>
    </row>
    <row r="217" spans="1:10" s="1311" customFormat="1">
      <c r="A217" s="1310">
        <v>2840</v>
      </c>
      <c r="B217" s="1508">
        <v>3613</v>
      </c>
      <c r="C217" s="1536" t="s">
        <v>228</v>
      </c>
      <c r="D217" s="1537">
        <v>39</v>
      </c>
      <c r="E217" s="1541" t="s">
        <v>136</v>
      </c>
      <c r="F217" s="201" t="s">
        <v>674</v>
      </c>
      <c r="G217" s="1539">
        <f>OMM!F154</f>
        <v>950</v>
      </c>
      <c r="H217" s="1539">
        <f>OMM!G154</f>
        <v>950</v>
      </c>
      <c r="I217" s="1540">
        <f>OMM!H154</f>
        <v>600</v>
      </c>
      <c r="J217" s="1866">
        <f>OMM!I154</f>
        <v>600</v>
      </c>
    </row>
    <row r="218" spans="1:10" s="1311" customFormat="1">
      <c r="A218" s="1310">
        <v>2842</v>
      </c>
      <c r="B218" s="1508" t="s">
        <v>771</v>
      </c>
      <c r="C218" s="1536" t="s">
        <v>1180</v>
      </c>
      <c r="D218" s="1537">
        <v>39</v>
      </c>
      <c r="E218" s="1541" t="s">
        <v>136</v>
      </c>
      <c r="F218" s="201" t="s">
        <v>677</v>
      </c>
      <c r="G218" s="1539">
        <f>OMM!F159</f>
        <v>8500</v>
      </c>
      <c r="H218" s="1539">
        <f>OMM!G159</f>
        <v>9940.08</v>
      </c>
      <c r="I218" s="1540">
        <f>OMM!H159</f>
        <v>4810</v>
      </c>
      <c r="J218" s="1866">
        <f>OMM!I159</f>
        <v>5550</v>
      </c>
    </row>
    <row r="219" spans="1:10" s="1311" customFormat="1">
      <c r="A219" s="1310">
        <v>2845</v>
      </c>
      <c r="B219" s="1508">
        <v>3699</v>
      </c>
      <c r="C219" s="1536" t="s">
        <v>228</v>
      </c>
      <c r="D219" s="1537">
        <v>39</v>
      </c>
      <c r="E219" s="1541" t="s">
        <v>136</v>
      </c>
      <c r="F219" s="201" t="s">
        <v>678</v>
      </c>
      <c r="G219" s="1539">
        <f>OMM!F160</f>
        <v>1000</v>
      </c>
      <c r="H219" s="1539">
        <f>OMM!G160</f>
        <v>1000</v>
      </c>
      <c r="I219" s="1540">
        <f>OMM!H160</f>
        <v>1550</v>
      </c>
      <c r="J219" s="1866">
        <f>OMM!I160</f>
        <v>1550</v>
      </c>
    </row>
    <row r="220" spans="1:10" s="1311" customFormat="1">
      <c r="A220" s="1310">
        <v>2857</v>
      </c>
      <c r="B220" s="1508">
        <v>3699</v>
      </c>
      <c r="C220" s="1536" t="s">
        <v>228</v>
      </c>
      <c r="D220" s="1537">
        <v>39</v>
      </c>
      <c r="E220" s="1541" t="s">
        <v>136</v>
      </c>
      <c r="F220" s="201" t="s">
        <v>679</v>
      </c>
      <c r="G220" s="1539">
        <f>OMM!F161</f>
        <v>4500</v>
      </c>
      <c r="H220" s="1539">
        <f>OMM!G161</f>
        <v>4500</v>
      </c>
      <c r="I220" s="1540">
        <f>OMM!H161</f>
        <v>850</v>
      </c>
      <c r="J220" s="1866">
        <f>OMM!I161</f>
        <v>850</v>
      </c>
    </row>
    <row r="221" spans="1:10" s="1311" customFormat="1">
      <c r="A221" s="1310">
        <v>2869</v>
      </c>
      <c r="B221" s="1508" t="s">
        <v>771</v>
      </c>
      <c r="C221" s="1536" t="s">
        <v>1180</v>
      </c>
      <c r="D221" s="1537">
        <v>39</v>
      </c>
      <c r="E221" s="1541" t="s">
        <v>136</v>
      </c>
      <c r="F221" s="201" t="s">
        <v>682</v>
      </c>
      <c r="G221" s="1539">
        <f>OMM!F166</f>
        <v>15700</v>
      </c>
      <c r="H221" s="1539">
        <f>OMM!G166</f>
        <v>13685</v>
      </c>
      <c r="I221" s="1540">
        <f>OMM!H166</f>
        <v>4940</v>
      </c>
      <c r="J221" s="1866">
        <f>OMM!I166</f>
        <v>12266</v>
      </c>
    </row>
    <row r="222" spans="1:10" s="1311" customFormat="1">
      <c r="A222" s="1310">
        <v>560</v>
      </c>
      <c r="B222" s="1508">
        <v>3613</v>
      </c>
      <c r="C222" s="1536" t="s">
        <v>228</v>
      </c>
      <c r="D222" s="1537">
        <v>39</v>
      </c>
      <c r="E222" s="1541" t="s">
        <v>136</v>
      </c>
      <c r="F222" s="201" t="s">
        <v>684</v>
      </c>
      <c r="G222" s="1539">
        <f>OMM!F169</f>
        <v>0</v>
      </c>
      <c r="H222" s="1539">
        <f>OMM!G169</f>
        <v>50</v>
      </c>
      <c r="I222" s="1540">
        <f>OMM!H169</f>
        <v>1100</v>
      </c>
      <c r="J222" s="1866">
        <f>OMM!I169</f>
        <v>1100</v>
      </c>
    </row>
    <row r="223" spans="1:10" s="1311" customFormat="1">
      <c r="A223" s="1310">
        <v>509</v>
      </c>
      <c r="B223" s="1508">
        <v>3429</v>
      </c>
      <c r="C223" s="1536" t="s">
        <v>1130</v>
      </c>
      <c r="D223" s="1537">
        <v>39</v>
      </c>
      <c r="E223" s="1541" t="s">
        <v>136</v>
      </c>
      <c r="F223" s="201" t="s">
        <v>688</v>
      </c>
      <c r="G223" s="1539">
        <f>OMM!F175</f>
        <v>50</v>
      </c>
      <c r="H223" s="1539">
        <f>OMM!G175</f>
        <v>221.29021999999998</v>
      </c>
      <c r="I223" s="1540">
        <f>OMM!H175</f>
        <v>8100</v>
      </c>
      <c r="J223" s="1866">
        <f>OMM!I175</f>
        <v>8699</v>
      </c>
    </row>
    <row r="224" spans="1:10" s="1311" customFormat="1">
      <c r="A224" s="1310">
        <v>3625</v>
      </c>
      <c r="B224" s="1508">
        <v>3429</v>
      </c>
      <c r="C224" s="1536" t="s">
        <v>1130</v>
      </c>
      <c r="D224" s="1537">
        <v>39</v>
      </c>
      <c r="E224" s="1541" t="s">
        <v>136</v>
      </c>
      <c r="F224" s="201" t="s">
        <v>689</v>
      </c>
      <c r="G224" s="1539">
        <f>OMM!F177</f>
        <v>0</v>
      </c>
      <c r="H224" s="1539">
        <f>OMM!G177</f>
        <v>0</v>
      </c>
      <c r="I224" s="1540">
        <f>OMM!H177</f>
        <v>2500</v>
      </c>
      <c r="J224" s="1866">
        <f>OMM!I177</f>
        <v>2500</v>
      </c>
    </row>
    <row r="225" spans="1:10" s="1311" customFormat="1">
      <c r="A225" s="1310"/>
      <c r="B225" s="1508" t="s">
        <v>1178</v>
      </c>
      <c r="C225" s="1536" t="s">
        <v>465</v>
      </c>
      <c r="D225" s="1537">
        <v>39</v>
      </c>
      <c r="E225" s="1541" t="s">
        <v>136</v>
      </c>
      <c r="F225" s="201" t="s">
        <v>690</v>
      </c>
      <c r="G225" s="1539">
        <f>OMM!F190</f>
        <v>0</v>
      </c>
      <c r="H225" s="1539">
        <f>OMM!G190</f>
        <v>450</v>
      </c>
      <c r="I225" s="1540">
        <f>OMM!H190</f>
        <v>0</v>
      </c>
      <c r="J225" s="1866">
        <f>OMM!I190</f>
        <v>260</v>
      </c>
    </row>
    <row r="226" spans="1:10" s="1311" customFormat="1">
      <c r="A226" s="1310">
        <v>3905</v>
      </c>
      <c r="B226" s="1508">
        <v>2219</v>
      </c>
      <c r="C226" s="1536" t="s">
        <v>465</v>
      </c>
      <c r="D226" s="1537">
        <v>39</v>
      </c>
      <c r="E226" s="1541" t="s">
        <v>136</v>
      </c>
      <c r="F226" s="201" t="s">
        <v>691</v>
      </c>
      <c r="G226" s="1539">
        <f>OMM!F178</f>
        <v>2700</v>
      </c>
      <c r="H226" s="1539">
        <f>OMM!G178</f>
        <v>2700</v>
      </c>
      <c r="I226" s="1540">
        <f>OMM!H178</f>
        <v>700</v>
      </c>
      <c r="J226" s="1866">
        <f>OMM!I178</f>
        <v>700</v>
      </c>
    </row>
    <row r="227" spans="1:10" s="1311" customFormat="1">
      <c r="A227" s="1310">
        <v>3972</v>
      </c>
      <c r="B227" s="1508">
        <v>3613</v>
      </c>
      <c r="C227" s="1536" t="s">
        <v>228</v>
      </c>
      <c r="D227" s="1537">
        <v>39</v>
      </c>
      <c r="E227" s="1541" t="s">
        <v>136</v>
      </c>
      <c r="F227" s="201" t="s">
        <v>692</v>
      </c>
      <c r="G227" s="1539">
        <f>OMM!F181</f>
        <v>23000</v>
      </c>
      <c r="H227" s="1539">
        <f>OMM!G181</f>
        <v>9630</v>
      </c>
      <c r="I227" s="1540">
        <f>OMM!H181</f>
        <v>2000</v>
      </c>
      <c r="J227" s="1866">
        <f>OMM!I181</f>
        <v>11394</v>
      </c>
    </row>
    <row r="228" spans="1:10" s="1311" customFormat="1">
      <c r="A228" s="1310">
        <v>3903</v>
      </c>
      <c r="B228" s="1508">
        <v>3613</v>
      </c>
      <c r="C228" s="1536" t="s">
        <v>228</v>
      </c>
      <c r="D228" s="1537">
        <v>39</v>
      </c>
      <c r="E228" s="1541" t="s">
        <v>136</v>
      </c>
      <c r="F228" s="201" t="s">
        <v>1155</v>
      </c>
      <c r="G228" s="1539">
        <f>OMM!F189</f>
        <v>0</v>
      </c>
      <c r="H228" s="1539">
        <f>OMM!G189</f>
        <v>8804.2141300000003</v>
      </c>
      <c r="I228" s="1540">
        <f>OMM!H189</f>
        <v>0</v>
      </c>
      <c r="J228" s="1540">
        <f>OMM!I189</f>
        <v>0</v>
      </c>
    </row>
    <row r="229" spans="1:10" s="1311" customFormat="1">
      <c r="A229" s="1310">
        <v>9521</v>
      </c>
      <c r="B229" s="1508">
        <v>3429</v>
      </c>
      <c r="C229" s="1536" t="s">
        <v>1130</v>
      </c>
      <c r="D229" s="1537">
        <v>39</v>
      </c>
      <c r="E229" s="1541" t="s">
        <v>136</v>
      </c>
      <c r="F229" s="201" t="s">
        <v>695</v>
      </c>
      <c r="G229" s="1539">
        <f>OMM!F183</f>
        <v>0</v>
      </c>
      <c r="H229" s="1539">
        <f>OMM!G183</f>
        <v>2341</v>
      </c>
      <c r="I229" s="1540">
        <f>OMM!H183</f>
        <v>400</v>
      </c>
      <c r="J229" s="1866">
        <f>OMM!I183</f>
        <v>400</v>
      </c>
    </row>
    <row r="230" spans="1:10" s="1311" customFormat="1">
      <c r="A230" s="1310"/>
      <c r="B230" s="1508">
        <v>2141</v>
      </c>
      <c r="C230" s="1552" t="s">
        <v>773</v>
      </c>
      <c r="D230" s="1537">
        <v>39</v>
      </c>
      <c r="E230" s="1541" t="s">
        <v>136</v>
      </c>
      <c r="F230" s="201" t="s">
        <v>1153</v>
      </c>
      <c r="G230" s="1539">
        <f>OMM!F184</f>
        <v>0</v>
      </c>
      <c r="H230" s="1539">
        <f>OMM!G184</f>
        <v>0</v>
      </c>
      <c r="I230" s="1540">
        <f>OMM!H184</f>
        <v>8500</v>
      </c>
      <c r="J230" s="1866">
        <f>OMM!I184</f>
        <v>8500</v>
      </c>
    </row>
    <row r="231" spans="1:10" s="1311" customFormat="1">
      <c r="A231" s="1310"/>
      <c r="B231" s="1508">
        <v>3319</v>
      </c>
      <c r="C231" s="1536" t="s">
        <v>1129</v>
      </c>
      <c r="D231" s="1537">
        <v>39</v>
      </c>
      <c r="E231" s="1541" t="s">
        <v>136</v>
      </c>
      <c r="F231" s="201" t="s">
        <v>1154</v>
      </c>
      <c r="G231" s="1539">
        <f>OMM!F185</f>
        <v>0</v>
      </c>
      <c r="H231" s="1539">
        <f>OMM!G185</f>
        <v>0</v>
      </c>
      <c r="I231" s="1540">
        <f>OMM!H185</f>
        <v>850</v>
      </c>
      <c r="J231" s="1866">
        <f>OMM!I185</f>
        <v>850</v>
      </c>
    </row>
    <row r="232" spans="1:10" s="1311" customFormat="1">
      <c r="A232" s="1310">
        <v>2838</v>
      </c>
      <c r="B232" s="1572">
        <v>3612</v>
      </c>
      <c r="C232" s="1536" t="s">
        <v>228</v>
      </c>
      <c r="D232" s="1537">
        <v>39</v>
      </c>
      <c r="E232" s="1541" t="s">
        <v>136</v>
      </c>
      <c r="F232" s="201" t="s">
        <v>697</v>
      </c>
      <c r="G232" s="1539">
        <f>OMM!F192</f>
        <v>4000</v>
      </c>
      <c r="H232" s="1539">
        <f>OMM!G192</f>
        <v>4000</v>
      </c>
      <c r="I232" s="1540">
        <f>OMM!H192</f>
        <v>0</v>
      </c>
      <c r="J232" s="1540">
        <f>OMM!I192</f>
        <v>0</v>
      </c>
    </row>
    <row r="233" spans="1:10" s="1311" customFormat="1" ht="25.5">
      <c r="A233" s="1310">
        <v>2839</v>
      </c>
      <c r="B233" s="1572">
        <v>3613</v>
      </c>
      <c r="C233" s="1536" t="s">
        <v>228</v>
      </c>
      <c r="D233" s="1537">
        <v>39</v>
      </c>
      <c r="E233" s="1541" t="s">
        <v>136</v>
      </c>
      <c r="F233" s="201" t="s">
        <v>699</v>
      </c>
      <c r="G233" s="1539">
        <f>OMM!F193</f>
        <v>3500</v>
      </c>
      <c r="H233" s="1539">
        <f>OMM!G193</f>
        <v>3500</v>
      </c>
      <c r="I233" s="1540">
        <f>OMM!H193</f>
        <v>0</v>
      </c>
      <c r="J233" s="1866">
        <f>OMM!I193</f>
        <v>3590</v>
      </c>
    </row>
    <row r="234" spans="1:10" s="1311" customFormat="1">
      <c r="A234" s="1310">
        <v>3920</v>
      </c>
      <c r="B234" s="1572">
        <v>3612</v>
      </c>
      <c r="C234" s="1536" t="s">
        <v>228</v>
      </c>
      <c r="D234" s="1537">
        <v>39</v>
      </c>
      <c r="E234" s="1541" t="s">
        <v>136</v>
      </c>
      <c r="F234" s="201" t="s">
        <v>305</v>
      </c>
      <c r="G234" s="1539">
        <f>OMM!F194</f>
        <v>7000</v>
      </c>
      <c r="H234" s="1539">
        <f>OMM!G194</f>
        <v>0</v>
      </c>
      <c r="I234" s="1540">
        <f>OMM!H194</f>
        <v>0</v>
      </c>
      <c r="J234" s="1540">
        <f>OMM!I194</f>
        <v>0</v>
      </c>
    </row>
    <row r="235" spans="1:10" s="1311" customFormat="1">
      <c r="A235" s="1310">
        <v>3920</v>
      </c>
      <c r="B235" s="1572">
        <v>3612</v>
      </c>
      <c r="C235" s="1536" t="s">
        <v>228</v>
      </c>
      <c r="D235" s="1537">
        <v>39</v>
      </c>
      <c r="E235" s="1541" t="s">
        <v>136</v>
      </c>
      <c r="F235" s="201" t="s">
        <v>306</v>
      </c>
      <c r="G235" s="1539">
        <f>OMM!F195</f>
        <v>5000</v>
      </c>
      <c r="H235" s="1539">
        <f>OMM!G195</f>
        <v>0</v>
      </c>
      <c r="I235" s="1540">
        <f>OMM!H195</f>
        <v>0</v>
      </c>
      <c r="J235" s="1540">
        <f>OMM!I195</f>
        <v>0</v>
      </c>
    </row>
    <row r="236" spans="1:10" s="1311" customFormat="1">
      <c r="A236" s="1310">
        <v>2880</v>
      </c>
      <c r="B236" s="1572" t="s">
        <v>238</v>
      </c>
      <c r="C236" s="1536" t="s">
        <v>228</v>
      </c>
      <c r="D236" s="1537">
        <v>39</v>
      </c>
      <c r="E236" s="1541" t="s">
        <v>136</v>
      </c>
      <c r="F236" s="201" t="s">
        <v>1529</v>
      </c>
      <c r="G236" s="1539"/>
      <c r="H236" s="1539"/>
      <c r="I236" s="1540">
        <f>OMM!H196</f>
        <v>0</v>
      </c>
      <c r="J236" s="1866">
        <f>OMM!I196</f>
        <v>481</v>
      </c>
    </row>
    <row r="237" spans="1:10" s="1311" customFormat="1">
      <c r="A237" s="1310">
        <v>2836</v>
      </c>
      <c r="B237" s="1572">
        <v>3699</v>
      </c>
      <c r="C237" s="1536" t="s">
        <v>228</v>
      </c>
      <c r="D237" s="1537">
        <v>39</v>
      </c>
      <c r="E237" s="1541" t="s">
        <v>136</v>
      </c>
      <c r="F237" s="201" t="s">
        <v>701</v>
      </c>
      <c r="G237" s="1539">
        <f>OMM!F199</f>
        <v>4000</v>
      </c>
      <c r="H237" s="1539">
        <f>OMM!G199</f>
        <v>4000</v>
      </c>
      <c r="I237" s="1540">
        <f>OMM!H199</f>
        <v>0</v>
      </c>
      <c r="J237" s="1866">
        <f>OMM!I199</f>
        <v>438.88200000000001</v>
      </c>
    </row>
    <row r="238" spans="1:10" s="1311" customFormat="1">
      <c r="A238" s="1310">
        <v>2837</v>
      </c>
      <c r="B238" s="1572">
        <v>3699</v>
      </c>
      <c r="C238" s="1536" t="s">
        <v>228</v>
      </c>
      <c r="D238" s="1537">
        <v>39</v>
      </c>
      <c r="E238" s="1541" t="s">
        <v>136</v>
      </c>
      <c r="F238" s="201" t="s">
        <v>704</v>
      </c>
      <c r="G238" s="1539">
        <f>OMM!F200</f>
        <v>11000</v>
      </c>
      <c r="H238" s="1539">
        <f>OMM!G200</f>
        <v>11000</v>
      </c>
      <c r="I238" s="1540">
        <f>OMM!H200</f>
        <v>0</v>
      </c>
      <c r="J238" s="1540">
        <f>OMM!I200</f>
        <v>0</v>
      </c>
    </row>
    <row r="239" spans="1:10" s="1311" customFormat="1">
      <c r="A239" s="1310">
        <v>3919</v>
      </c>
      <c r="B239" s="1515">
        <v>3319</v>
      </c>
      <c r="C239" s="1536" t="s">
        <v>1129</v>
      </c>
      <c r="D239" s="1537">
        <v>39</v>
      </c>
      <c r="E239" s="1541" t="s">
        <v>136</v>
      </c>
      <c r="F239" s="201" t="s">
        <v>707</v>
      </c>
      <c r="G239" s="1539">
        <f>OMM!F201</f>
        <v>0</v>
      </c>
      <c r="H239" s="1539">
        <f>OMM!G201</f>
        <v>180</v>
      </c>
      <c r="I239" s="1540">
        <f>OMM!H201</f>
        <v>0</v>
      </c>
      <c r="J239" s="1540">
        <f>OMM!I201</f>
        <v>0</v>
      </c>
    </row>
    <row r="240" spans="1:10" s="1311" customFormat="1" ht="15" customHeight="1">
      <c r="A240" s="1316" t="s">
        <v>458</v>
      </c>
      <c r="B240" s="1516" t="s">
        <v>459</v>
      </c>
      <c r="C240" s="1536" t="s">
        <v>125</v>
      </c>
      <c r="D240" s="1537">
        <v>41</v>
      </c>
      <c r="E240" s="1538" t="s">
        <v>126</v>
      </c>
      <c r="F240" s="201" t="s">
        <v>334</v>
      </c>
      <c r="G240" s="1539">
        <f>'OFE '!F14</f>
        <v>1301</v>
      </c>
      <c r="H240" s="1539">
        <f>'OFE '!G14</f>
        <v>1459.7820000000002</v>
      </c>
      <c r="I240" s="1540">
        <f>'OFE '!H14</f>
        <v>1908</v>
      </c>
      <c r="J240" s="1540">
        <f>'OFE '!I14</f>
        <v>1908</v>
      </c>
    </row>
    <row r="241" spans="1:10" s="1311" customFormat="1" ht="15" customHeight="1">
      <c r="A241" s="1312" t="s">
        <v>460</v>
      </c>
      <c r="B241" s="1508">
        <v>3639.6399000000001</v>
      </c>
      <c r="C241" s="1536" t="s">
        <v>125</v>
      </c>
      <c r="D241" s="1537">
        <v>41</v>
      </c>
      <c r="E241" s="1538" t="s">
        <v>126</v>
      </c>
      <c r="F241" s="201" t="s">
        <v>339</v>
      </c>
      <c r="G241" s="1539">
        <f>'OFE '!F18</f>
        <v>9211</v>
      </c>
      <c r="H241" s="1539">
        <f>'OFE '!G18</f>
        <v>55732.05371</v>
      </c>
      <c r="I241" s="1540">
        <f>'OFE '!H18</f>
        <v>50100</v>
      </c>
      <c r="J241" s="1540">
        <f>'OFE '!I18</f>
        <v>50100</v>
      </c>
    </row>
    <row r="242" spans="1:10" s="1311" customFormat="1" ht="15" customHeight="1">
      <c r="A242" s="1310">
        <v>4100</v>
      </c>
      <c r="B242" s="1517" t="s">
        <v>461</v>
      </c>
      <c r="C242" s="1536" t="s">
        <v>125</v>
      </c>
      <c r="D242" s="1537">
        <v>41</v>
      </c>
      <c r="E242" s="1538" t="s">
        <v>126</v>
      </c>
      <c r="F242" s="201" t="s">
        <v>351</v>
      </c>
      <c r="G242" s="1539">
        <f>'OFE '!F31</f>
        <v>20389</v>
      </c>
      <c r="H242" s="1539">
        <f>'OFE '!G31</f>
        <v>20587.25995</v>
      </c>
      <c r="I242" s="1540">
        <f>'OFE '!H31</f>
        <v>25454</v>
      </c>
      <c r="J242" s="1540">
        <f>'OFE '!I31</f>
        <v>25454</v>
      </c>
    </row>
    <row r="243" spans="1:10" s="1311" customFormat="1" ht="15" customHeight="1">
      <c r="A243" s="1310">
        <v>4100</v>
      </c>
      <c r="B243" s="1511">
        <v>3113</v>
      </c>
      <c r="C243" s="1536" t="s">
        <v>1180</v>
      </c>
      <c r="D243" s="1537">
        <v>41</v>
      </c>
      <c r="E243" s="1538" t="s">
        <v>126</v>
      </c>
      <c r="F243" s="201" t="s">
        <v>352</v>
      </c>
      <c r="G243" s="1539">
        <f>'OFE '!F32</f>
        <v>0</v>
      </c>
      <c r="H243" s="1539">
        <f>'OFE '!G32</f>
        <v>250</v>
      </c>
      <c r="I243" s="1540">
        <f>'OFE '!H32</f>
        <v>0</v>
      </c>
      <c r="J243" s="1540">
        <f>'OFE '!I32</f>
        <v>0</v>
      </c>
    </row>
    <row r="244" spans="1:10" s="1311" customFormat="1" ht="15" customHeight="1">
      <c r="A244" s="1310">
        <v>4100</v>
      </c>
      <c r="B244" s="1511">
        <v>6171</v>
      </c>
      <c r="C244" s="1536" t="s">
        <v>125</v>
      </c>
      <c r="D244" s="1537">
        <v>41</v>
      </c>
      <c r="E244" s="1538" t="s">
        <v>126</v>
      </c>
      <c r="F244" s="201" t="s">
        <v>353</v>
      </c>
      <c r="G244" s="1539">
        <f>'OFE '!F33</f>
        <v>2000</v>
      </c>
      <c r="H244" s="1539">
        <f>'OFE '!G33</f>
        <v>1500</v>
      </c>
      <c r="I244" s="1540">
        <f>'OFE '!H33</f>
        <v>2000</v>
      </c>
      <c r="J244" s="1540">
        <f>'OFE '!I33</f>
        <v>2000</v>
      </c>
    </row>
    <row r="245" spans="1:10" s="1311" customFormat="1" ht="15" customHeight="1">
      <c r="A245" s="1310">
        <v>4100</v>
      </c>
      <c r="B245" s="1511">
        <v>6171</v>
      </c>
      <c r="C245" s="1536" t="s">
        <v>125</v>
      </c>
      <c r="D245" s="1537">
        <v>41</v>
      </c>
      <c r="E245" s="1538" t="s">
        <v>126</v>
      </c>
      <c r="F245" s="201" t="s">
        <v>354</v>
      </c>
      <c r="G245" s="1539">
        <f>'OFE '!F34</f>
        <v>100</v>
      </c>
      <c r="H245" s="1539">
        <f>'OFE '!G34</f>
        <v>100</v>
      </c>
      <c r="I245" s="1540">
        <f>'OFE '!H34</f>
        <v>100</v>
      </c>
      <c r="J245" s="1540">
        <f>'OFE '!I34</f>
        <v>100</v>
      </c>
    </row>
    <row r="246" spans="1:10" s="1311" customFormat="1">
      <c r="A246" s="1310">
        <v>4100</v>
      </c>
      <c r="B246" s="1511">
        <v>6171</v>
      </c>
      <c r="C246" s="1536" t="s">
        <v>125</v>
      </c>
      <c r="D246" s="1537">
        <v>41</v>
      </c>
      <c r="E246" s="1541" t="s">
        <v>136</v>
      </c>
      <c r="F246" s="201" t="s">
        <v>1175</v>
      </c>
      <c r="G246" s="1539">
        <f>'OFE '!F47</f>
        <v>0</v>
      </c>
      <c r="H246" s="1539">
        <f>'OFE '!G47</f>
        <v>111</v>
      </c>
      <c r="I246" s="1540">
        <f>'OFE '!H47</f>
        <v>0</v>
      </c>
      <c r="J246" s="1540">
        <f>'OFE '!I47</f>
        <v>0</v>
      </c>
    </row>
    <row r="247" spans="1:10" s="1311" customFormat="1" ht="25.5">
      <c r="A247" s="1310">
        <v>4100</v>
      </c>
      <c r="B247" s="1511">
        <v>1031</v>
      </c>
      <c r="C247" s="1536" t="s">
        <v>164</v>
      </c>
      <c r="D247" s="1537">
        <v>41</v>
      </c>
      <c r="E247" s="1541" t="s">
        <v>136</v>
      </c>
      <c r="F247" s="201" t="s">
        <v>359</v>
      </c>
      <c r="G247" s="1539">
        <f>'OFE '!F48</f>
        <v>9000</v>
      </c>
      <c r="H247" s="1539">
        <f>'OFE '!G48</f>
        <v>12065.3807</v>
      </c>
      <c r="I247" s="1540">
        <f>'OFE '!H48</f>
        <v>0</v>
      </c>
      <c r="J247" s="1540">
        <f>'OFE '!I48</f>
        <v>0</v>
      </c>
    </row>
    <row r="248" spans="1:10" s="1311" customFormat="1" ht="30.75" customHeight="1">
      <c r="A248" s="1310">
        <v>7072</v>
      </c>
      <c r="B248" s="1511">
        <v>1031</v>
      </c>
      <c r="C248" s="1536" t="s">
        <v>164</v>
      </c>
      <c r="D248" s="1537">
        <v>41</v>
      </c>
      <c r="E248" s="1541" t="s">
        <v>136</v>
      </c>
      <c r="F248" s="833" t="s">
        <v>1182</v>
      </c>
      <c r="G248" s="1539">
        <f>SUM('OFE '!F45)</f>
        <v>0</v>
      </c>
      <c r="H248" s="1539">
        <f>SUM('OFE '!G45)</f>
        <v>0</v>
      </c>
      <c r="I248" s="1540">
        <f>SUM('OFE '!H45)</f>
        <v>9480.51</v>
      </c>
      <c r="J248" s="1540">
        <f>SUM('OFE '!I45)</f>
        <v>9480.51</v>
      </c>
    </row>
    <row r="249" spans="1:10" s="1311" customFormat="1" ht="29.25" customHeight="1">
      <c r="A249" s="1310">
        <v>7070</v>
      </c>
      <c r="B249" s="1511">
        <v>3745</v>
      </c>
      <c r="C249" s="1536" t="s">
        <v>164</v>
      </c>
      <c r="D249" s="1537">
        <v>41</v>
      </c>
      <c r="E249" s="1541" t="s">
        <v>136</v>
      </c>
      <c r="F249" s="833" t="s">
        <v>1183</v>
      </c>
      <c r="G249" s="1539">
        <f>SUM('OFE '!F46)</f>
        <v>0</v>
      </c>
      <c r="H249" s="1539">
        <f>SUM('OFE '!G46)</f>
        <v>0</v>
      </c>
      <c r="I249" s="1540">
        <f>SUM('OFE '!H46)</f>
        <v>7480</v>
      </c>
      <c r="J249" s="1540">
        <f>SUM('OFE '!I46)</f>
        <v>7480</v>
      </c>
    </row>
    <row r="250" spans="1:10" s="1311" customFormat="1" ht="15" customHeight="1">
      <c r="A250" s="1310">
        <v>4300</v>
      </c>
      <c r="B250" s="1511">
        <v>6223</v>
      </c>
      <c r="C250" s="1536" t="s">
        <v>125</v>
      </c>
      <c r="D250" s="1537">
        <v>43</v>
      </c>
      <c r="E250" s="1538" t="s">
        <v>126</v>
      </c>
      <c r="F250" s="201" t="s">
        <v>1097</v>
      </c>
      <c r="G250" s="1539">
        <f>OKP!F17</f>
        <v>500</v>
      </c>
      <c r="H250" s="1539">
        <f>OKP!G17</f>
        <v>500</v>
      </c>
      <c r="I250" s="1540">
        <f>OKP!H17</f>
        <v>500</v>
      </c>
      <c r="J250" s="1540">
        <f>OKP!I17</f>
        <v>500</v>
      </c>
    </row>
    <row r="251" spans="1:10">
      <c r="A251" s="1305" t="s">
        <v>1098</v>
      </c>
      <c r="B251" s="1518">
        <v>6171</v>
      </c>
      <c r="C251" s="1552" t="s">
        <v>125</v>
      </c>
      <c r="D251" s="1553">
        <v>43</v>
      </c>
      <c r="E251" s="1554" t="s">
        <v>126</v>
      </c>
      <c r="F251" s="201" t="s">
        <v>1096</v>
      </c>
      <c r="G251" s="1555">
        <f>OKP!F42</f>
        <v>5785</v>
      </c>
      <c r="H251" s="1555">
        <f>OKP!G42</f>
        <v>5785</v>
      </c>
      <c r="I251" s="1556">
        <f>OKP!H42</f>
        <v>5017</v>
      </c>
      <c r="J251" s="1556">
        <f>OKP!I42</f>
        <v>5017</v>
      </c>
    </row>
    <row r="252" spans="1:10">
      <c r="A252" s="1304">
        <v>2873</v>
      </c>
      <c r="B252" s="1518">
        <v>2141</v>
      </c>
      <c r="C252" s="1552" t="s">
        <v>773</v>
      </c>
      <c r="D252" s="1553">
        <v>43</v>
      </c>
      <c r="E252" s="1554" t="s">
        <v>126</v>
      </c>
      <c r="F252" s="201" t="s">
        <v>1057</v>
      </c>
      <c r="G252" s="1555">
        <f>OKP!F43</f>
        <v>16011.26</v>
      </c>
      <c r="H252" s="1555">
        <f>OKP!G43</f>
        <v>17042.087499999998</v>
      </c>
      <c r="I252" s="1556">
        <f>OKP!H43</f>
        <v>15000</v>
      </c>
      <c r="J252" s="1556">
        <f>OKP!I43</f>
        <v>15000</v>
      </c>
    </row>
    <row r="253" spans="1:10">
      <c r="A253" s="1304">
        <v>1101</v>
      </c>
      <c r="B253" s="1519">
        <v>6171</v>
      </c>
      <c r="C253" s="1552" t="s">
        <v>125</v>
      </c>
      <c r="D253" s="1553">
        <v>43</v>
      </c>
      <c r="E253" s="1554" t="s">
        <v>126</v>
      </c>
      <c r="F253" s="201" t="s">
        <v>1093</v>
      </c>
      <c r="G253" s="1555">
        <f>OKP!F44</f>
        <v>1500</v>
      </c>
      <c r="H253" s="1555">
        <f>OKP!G44</f>
        <v>1500</v>
      </c>
      <c r="I253" s="1556">
        <f>OKP!H44</f>
        <v>1500</v>
      </c>
      <c r="J253" s="1556">
        <f>OKP!I44</f>
        <v>1500</v>
      </c>
    </row>
    <row r="254" spans="1:10">
      <c r="A254" s="1304">
        <v>4300</v>
      </c>
      <c r="B254" s="1520">
        <v>3533</v>
      </c>
      <c r="C254" s="1552" t="s">
        <v>466</v>
      </c>
      <c r="D254" s="1553">
        <v>43</v>
      </c>
      <c r="E254" s="1557" t="s">
        <v>136</v>
      </c>
      <c r="F254" s="201" t="s">
        <v>1095</v>
      </c>
      <c r="G254" s="1555">
        <f>OKP!F55</f>
        <v>0</v>
      </c>
      <c r="H254" s="1555">
        <f>OKP!G55</f>
        <v>0</v>
      </c>
      <c r="I254" s="1556">
        <f>OKP!H55</f>
        <v>100</v>
      </c>
      <c r="J254" s="1556">
        <f>OKP!I55</f>
        <v>100</v>
      </c>
    </row>
    <row r="255" spans="1:10">
      <c r="A255" s="1304">
        <v>7010</v>
      </c>
      <c r="B255" s="1520">
        <v>1014</v>
      </c>
      <c r="C255" s="1552" t="s">
        <v>164</v>
      </c>
      <c r="D255" s="1553">
        <v>70</v>
      </c>
      <c r="E255" s="1554" t="s">
        <v>126</v>
      </c>
      <c r="F255" s="201" t="s">
        <v>371</v>
      </c>
      <c r="G255" s="1555">
        <f>OT!F15</f>
        <v>928</v>
      </c>
      <c r="H255" s="1555">
        <f>OT!G15</f>
        <v>928</v>
      </c>
      <c r="I255" s="1556">
        <f>OT!H15</f>
        <v>916</v>
      </c>
      <c r="J255" s="1556">
        <f>OT!I15</f>
        <v>916</v>
      </c>
    </row>
    <row r="256" spans="1:10">
      <c r="A256" s="1304">
        <v>7023</v>
      </c>
      <c r="B256" s="1519" t="s">
        <v>464</v>
      </c>
      <c r="C256" s="1552" t="s">
        <v>164</v>
      </c>
      <c r="D256" s="1553">
        <v>70</v>
      </c>
      <c r="E256" s="1554" t="s">
        <v>126</v>
      </c>
      <c r="F256" s="201" t="s">
        <v>376</v>
      </c>
      <c r="G256" s="1555">
        <f>OT!F22</f>
        <v>39070</v>
      </c>
      <c r="H256" s="1555">
        <f>OT!G22</f>
        <v>44276</v>
      </c>
      <c r="I256" s="1556">
        <f>OT!H22</f>
        <v>38990</v>
      </c>
      <c r="J256" s="1556">
        <f>OT!I22</f>
        <v>38990</v>
      </c>
    </row>
    <row r="257" spans="1:10">
      <c r="A257" s="1304">
        <v>7024</v>
      </c>
      <c r="B257" s="1519">
        <v>2219</v>
      </c>
      <c r="C257" s="1552" t="s">
        <v>465</v>
      </c>
      <c r="D257" s="1553">
        <v>70</v>
      </c>
      <c r="E257" s="1554" t="s">
        <v>126</v>
      </c>
      <c r="F257" s="201" t="s">
        <v>463</v>
      </c>
      <c r="G257" s="1555">
        <f>OT!F23</f>
        <v>2300</v>
      </c>
      <c r="H257" s="1555">
        <f>OT!G23</f>
        <v>2584</v>
      </c>
      <c r="I257" s="1556">
        <f>OT!H23</f>
        <v>2600</v>
      </c>
      <c r="J257" s="1556">
        <f>OT!I23</f>
        <v>2600</v>
      </c>
    </row>
    <row r="258" spans="1:10">
      <c r="A258" s="1304">
        <v>7090</v>
      </c>
      <c r="B258" s="1519">
        <v>2229</v>
      </c>
      <c r="C258" s="1552" t="s">
        <v>465</v>
      </c>
      <c r="D258" s="1553">
        <v>70</v>
      </c>
      <c r="E258" s="1554" t="s">
        <v>126</v>
      </c>
      <c r="F258" s="201" t="s">
        <v>380</v>
      </c>
      <c r="G258" s="1555">
        <f>OT!F24</f>
        <v>1300</v>
      </c>
      <c r="H258" s="1555">
        <f>OT!G24</f>
        <v>1300</v>
      </c>
      <c r="I258" s="1556">
        <f>OT!H24</f>
        <v>1100</v>
      </c>
      <c r="J258" s="1556">
        <f>OT!I24</f>
        <v>1100</v>
      </c>
    </row>
    <row r="259" spans="1:10">
      <c r="A259" s="1304">
        <v>7080</v>
      </c>
      <c r="B259" s="1519">
        <v>2212</v>
      </c>
      <c r="C259" s="1552" t="s">
        <v>465</v>
      </c>
      <c r="D259" s="1553">
        <v>70</v>
      </c>
      <c r="E259" s="1554" t="s">
        <v>126</v>
      </c>
      <c r="F259" s="201" t="s">
        <v>389</v>
      </c>
      <c r="G259" s="1555">
        <f>OT!F33</f>
        <v>31406</v>
      </c>
      <c r="H259" s="1555">
        <f>OT!G33</f>
        <v>33406.373460000003</v>
      </c>
      <c r="I259" s="1556">
        <f>OT!H33</f>
        <v>21663</v>
      </c>
      <c r="J259" s="1556">
        <f>OT!I33</f>
        <v>21966</v>
      </c>
    </row>
    <row r="260" spans="1:10">
      <c r="A260" s="1304">
        <v>7082</v>
      </c>
      <c r="B260" s="1519">
        <v>2212</v>
      </c>
      <c r="C260" s="1552" t="s">
        <v>465</v>
      </c>
      <c r="D260" s="1553">
        <v>70</v>
      </c>
      <c r="E260" s="1554" t="s">
        <v>126</v>
      </c>
      <c r="F260" s="201" t="s">
        <v>391</v>
      </c>
      <c r="G260" s="1555">
        <f>OT!F34</f>
        <v>36000</v>
      </c>
      <c r="H260" s="1555">
        <f>OT!G34</f>
        <v>36000</v>
      </c>
      <c r="I260" s="1556">
        <f>OT!H34</f>
        <v>35000</v>
      </c>
      <c r="J260" s="1556">
        <f>OT!I34</f>
        <v>35000</v>
      </c>
    </row>
    <row r="261" spans="1:10">
      <c r="A261" s="1304">
        <v>7078</v>
      </c>
      <c r="B261" s="1519">
        <v>3631</v>
      </c>
      <c r="C261" s="1552" t="s">
        <v>228</v>
      </c>
      <c r="D261" s="1553">
        <v>70</v>
      </c>
      <c r="E261" s="1554" t="s">
        <v>126</v>
      </c>
      <c r="F261" s="201" t="s">
        <v>397</v>
      </c>
      <c r="G261" s="1555">
        <f>OT!F39</f>
        <v>18610</v>
      </c>
      <c r="H261" s="1555">
        <f>OT!G39</f>
        <v>17536.631970000002</v>
      </c>
      <c r="I261" s="1556">
        <f>OT!H39</f>
        <v>18300</v>
      </c>
      <c r="J261" s="1556">
        <f>OT!I39</f>
        <v>18300</v>
      </c>
    </row>
    <row r="262" spans="1:10">
      <c r="A262" s="1304">
        <v>7070</v>
      </c>
      <c r="B262" s="1520">
        <v>1031</v>
      </c>
      <c r="C262" s="1552" t="s">
        <v>164</v>
      </c>
      <c r="D262" s="1553">
        <v>70</v>
      </c>
      <c r="E262" s="1554" t="s">
        <v>126</v>
      </c>
      <c r="F262" s="201" t="s">
        <v>400</v>
      </c>
      <c r="G262" s="1555">
        <f>OT!F40</f>
        <v>5000</v>
      </c>
      <c r="H262" s="1555">
        <f>OT!G40</f>
        <v>5633.009</v>
      </c>
      <c r="I262" s="1556">
        <f>OT!H40</f>
        <v>5000</v>
      </c>
      <c r="J262" s="1556">
        <f>OT!I40</f>
        <v>5000</v>
      </c>
    </row>
    <row r="263" spans="1:10">
      <c r="A263" s="1304">
        <v>7070</v>
      </c>
      <c r="B263" s="1520">
        <v>1031</v>
      </c>
      <c r="C263" s="1552" t="s">
        <v>164</v>
      </c>
      <c r="D263" s="1553">
        <v>70</v>
      </c>
      <c r="E263" s="1554" t="s">
        <v>126</v>
      </c>
      <c r="F263" s="201" t="s">
        <v>401</v>
      </c>
      <c r="G263" s="1555">
        <f>OT!F41</f>
        <v>0</v>
      </c>
      <c r="H263" s="1555">
        <f>OT!G41</f>
        <v>23.645669999999999</v>
      </c>
      <c r="I263" s="1556">
        <f>OT!H41</f>
        <v>0</v>
      </c>
      <c r="J263" s="1556">
        <f>OT!I41</f>
        <v>0</v>
      </c>
    </row>
    <row r="264" spans="1:10">
      <c r="A264" s="1304">
        <v>7072</v>
      </c>
      <c r="B264" s="1520">
        <v>3745</v>
      </c>
      <c r="C264" s="1552" t="s">
        <v>164</v>
      </c>
      <c r="D264" s="1553">
        <v>70</v>
      </c>
      <c r="E264" s="1554" t="s">
        <v>126</v>
      </c>
      <c r="F264" s="201" t="s">
        <v>404</v>
      </c>
      <c r="G264" s="1555">
        <f>OT!F42</f>
        <v>23900</v>
      </c>
      <c r="H264" s="1555">
        <f>OT!G42</f>
        <v>24282.560000000001</v>
      </c>
      <c r="I264" s="1556">
        <f>OT!H42</f>
        <v>25300</v>
      </c>
      <c r="J264" s="1556">
        <f>OT!I42</f>
        <v>25300</v>
      </c>
    </row>
    <row r="265" spans="1:10">
      <c r="A265" s="1304">
        <v>7072</v>
      </c>
      <c r="B265" s="1520">
        <v>3745</v>
      </c>
      <c r="C265" s="1552" t="s">
        <v>164</v>
      </c>
      <c r="D265" s="1553">
        <v>70</v>
      </c>
      <c r="E265" s="1554" t="s">
        <v>126</v>
      </c>
      <c r="F265" s="201" t="s">
        <v>405</v>
      </c>
      <c r="G265" s="1555">
        <f>OT!F43</f>
        <v>0</v>
      </c>
      <c r="H265" s="1555">
        <f>OT!G43</f>
        <v>38.590910000000001</v>
      </c>
      <c r="I265" s="1556">
        <f>OT!H43</f>
        <v>0</v>
      </c>
      <c r="J265" s="1556">
        <f>OT!I43</f>
        <v>0</v>
      </c>
    </row>
    <row r="266" spans="1:10">
      <c r="A266" s="1304">
        <v>7077</v>
      </c>
      <c r="B266" s="1520">
        <v>3599</v>
      </c>
      <c r="C266" s="1566" t="s">
        <v>466</v>
      </c>
      <c r="D266" s="1567">
        <v>70</v>
      </c>
      <c r="E266" s="1568" t="s">
        <v>126</v>
      </c>
      <c r="F266" s="1523" t="s">
        <v>408</v>
      </c>
      <c r="G266" s="1569">
        <f>OT!F44</f>
        <v>6000</v>
      </c>
      <c r="H266" s="1569">
        <f>OT!G44</f>
        <v>6000</v>
      </c>
      <c r="I266" s="1570">
        <f>OT!H44</f>
        <v>6000</v>
      </c>
      <c r="J266" s="1570">
        <f>OT!I44</f>
        <v>6000</v>
      </c>
    </row>
    <row r="267" spans="1:10">
      <c r="A267" s="1304">
        <v>7010</v>
      </c>
      <c r="B267" s="1520">
        <v>1014</v>
      </c>
      <c r="C267" s="1552" t="s">
        <v>164</v>
      </c>
      <c r="D267" s="1567">
        <v>70</v>
      </c>
      <c r="E267" s="1557" t="s">
        <v>136</v>
      </c>
      <c r="F267" s="1523" t="s">
        <v>1518</v>
      </c>
      <c r="G267" s="1569"/>
      <c r="H267" s="1569"/>
      <c r="I267" s="1570">
        <f>OT!H56</f>
        <v>0</v>
      </c>
      <c r="J267" s="1570">
        <f>OT!I56</f>
        <v>71</v>
      </c>
    </row>
    <row r="268" spans="1:10">
      <c r="A268" s="1304">
        <v>7022</v>
      </c>
      <c r="B268" s="1520">
        <v>2212</v>
      </c>
      <c r="C268" s="1552" t="s">
        <v>465</v>
      </c>
      <c r="D268" s="1553">
        <v>70</v>
      </c>
      <c r="E268" s="1557" t="s">
        <v>136</v>
      </c>
      <c r="F268" s="201" t="s">
        <v>412</v>
      </c>
      <c r="G268" s="1555">
        <f>OT!F70</f>
        <v>2300</v>
      </c>
      <c r="H268" s="1555">
        <f>OT!G70</f>
        <v>6772.424</v>
      </c>
      <c r="I268" s="1556">
        <f>OT!H70</f>
        <v>2000</v>
      </c>
      <c r="J268" s="1556">
        <f>OT!I70</f>
        <v>2000</v>
      </c>
    </row>
    <row r="269" spans="1:10">
      <c r="A269" s="1304">
        <v>2801</v>
      </c>
      <c r="B269" s="1520">
        <v>3631</v>
      </c>
      <c r="C269" s="1552" t="s">
        <v>228</v>
      </c>
      <c r="D269" s="1553">
        <v>70</v>
      </c>
      <c r="E269" s="1557" t="s">
        <v>136</v>
      </c>
      <c r="F269" s="201" t="s">
        <v>415</v>
      </c>
      <c r="G269" s="1555">
        <f>OT!F61</f>
        <v>250</v>
      </c>
      <c r="H269" s="1555">
        <f>OT!G61</f>
        <v>250</v>
      </c>
      <c r="I269" s="1556">
        <f>OT!H61</f>
        <v>250</v>
      </c>
      <c r="J269" s="1556">
        <f>OT!I61</f>
        <v>250</v>
      </c>
    </row>
    <row r="270" spans="1:10">
      <c r="A270" s="1304">
        <v>7086</v>
      </c>
      <c r="B270" s="1520">
        <v>3631</v>
      </c>
      <c r="C270" s="1552" t="s">
        <v>228</v>
      </c>
      <c r="D270" s="1553">
        <v>70</v>
      </c>
      <c r="E270" s="1557" t="s">
        <v>136</v>
      </c>
      <c r="F270" s="201" t="s">
        <v>417</v>
      </c>
      <c r="G270" s="1555">
        <f>OT!F81</f>
        <v>0</v>
      </c>
      <c r="H270" s="1555">
        <f>OT!G81</f>
        <v>350</v>
      </c>
      <c r="I270" s="1556">
        <f>OT!H81</f>
        <v>0</v>
      </c>
      <c r="J270" s="1556">
        <f>OT!I81</f>
        <v>306</v>
      </c>
    </row>
    <row r="271" spans="1:10">
      <c r="A271" s="1304">
        <v>7087</v>
      </c>
      <c r="B271" s="1520">
        <v>3631</v>
      </c>
      <c r="C271" s="1552" t="s">
        <v>228</v>
      </c>
      <c r="D271" s="1553">
        <v>70</v>
      </c>
      <c r="E271" s="1557" t="s">
        <v>136</v>
      </c>
      <c r="F271" s="201" t="s">
        <v>419</v>
      </c>
      <c r="G271" s="1555">
        <f>OT!F82</f>
        <v>862</v>
      </c>
      <c r="H271" s="1555">
        <f>OT!G82</f>
        <v>862</v>
      </c>
      <c r="I271" s="1556">
        <f>OT!H82</f>
        <v>0</v>
      </c>
      <c r="J271" s="1556">
        <f>OT!I82</f>
        <v>774</v>
      </c>
    </row>
    <row r="272" spans="1:10">
      <c r="A272" s="1304"/>
      <c r="B272" s="1520">
        <v>3631</v>
      </c>
      <c r="C272" s="1552" t="s">
        <v>228</v>
      </c>
      <c r="D272" s="1553">
        <v>70</v>
      </c>
      <c r="E272" s="1557" t="s">
        <v>136</v>
      </c>
      <c r="F272" s="201" t="s">
        <v>420</v>
      </c>
      <c r="G272" s="1555">
        <f>OT!F73</f>
        <v>382</v>
      </c>
      <c r="H272" s="1555">
        <f>OT!G73</f>
        <v>832</v>
      </c>
      <c r="I272" s="1556">
        <f>OT!H73</f>
        <v>832</v>
      </c>
      <c r="J272" s="1556">
        <f>OT!I73</f>
        <v>832</v>
      </c>
    </row>
    <row r="273" spans="1:10">
      <c r="A273" s="1304"/>
      <c r="B273" s="1520">
        <v>3631</v>
      </c>
      <c r="C273" s="1552" t="s">
        <v>228</v>
      </c>
      <c r="D273" s="1553">
        <v>70</v>
      </c>
      <c r="E273" s="1557" t="s">
        <v>136</v>
      </c>
      <c r="F273" s="201" t="s">
        <v>423</v>
      </c>
      <c r="G273" s="1555">
        <f>OT!F83</f>
        <v>0</v>
      </c>
      <c r="H273" s="1555">
        <f>OT!G83</f>
        <v>232.12682000000001</v>
      </c>
      <c r="I273" s="1556">
        <f>OT!H83</f>
        <v>0</v>
      </c>
      <c r="J273" s="1556">
        <f>OT!I83</f>
        <v>0</v>
      </c>
    </row>
    <row r="274" spans="1:10">
      <c r="A274" s="1304"/>
      <c r="B274" s="1520">
        <v>3631</v>
      </c>
      <c r="C274" s="1552" t="s">
        <v>228</v>
      </c>
      <c r="D274" s="1553">
        <v>70</v>
      </c>
      <c r="E274" s="1557" t="s">
        <v>136</v>
      </c>
      <c r="F274" s="201" t="s">
        <v>425</v>
      </c>
      <c r="G274" s="1555">
        <f>OT!F84</f>
        <v>487</v>
      </c>
      <c r="H274" s="1555">
        <f>OT!G84</f>
        <v>487</v>
      </c>
      <c r="I274" s="1556">
        <f>OT!H84</f>
        <v>0</v>
      </c>
      <c r="J274" s="1556">
        <f>OT!I84</f>
        <v>400</v>
      </c>
    </row>
    <row r="275" spans="1:10">
      <c r="A275" s="1304"/>
      <c r="B275" s="1520">
        <v>3631</v>
      </c>
      <c r="C275" s="1552" t="s">
        <v>228</v>
      </c>
      <c r="D275" s="1553">
        <v>70</v>
      </c>
      <c r="E275" s="1557" t="s">
        <v>136</v>
      </c>
      <c r="F275" s="201" t="s">
        <v>427</v>
      </c>
      <c r="G275" s="1555">
        <f>OT!F85</f>
        <v>0</v>
      </c>
      <c r="H275" s="1555">
        <f>OT!G85</f>
        <v>792.8</v>
      </c>
      <c r="I275" s="1556">
        <f>OT!H85</f>
        <v>0</v>
      </c>
      <c r="J275" s="1556">
        <f>OT!I85</f>
        <v>700</v>
      </c>
    </row>
    <row r="276" spans="1:10">
      <c r="A276" s="1304"/>
      <c r="B276" s="1520">
        <v>3631</v>
      </c>
      <c r="C276" s="1552" t="s">
        <v>228</v>
      </c>
      <c r="D276" s="1553">
        <v>70</v>
      </c>
      <c r="E276" s="1557" t="s">
        <v>136</v>
      </c>
      <c r="F276" s="201" t="s">
        <v>429</v>
      </c>
      <c r="G276" s="1555">
        <f>OT!F86</f>
        <v>2300</v>
      </c>
      <c r="H276" s="1555">
        <f>OT!G86</f>
        <v>2300</v>
      </c>
      <c r="I276" s="1556">
        <f>OT!H86</f>
        <v>0</v>
      </c>
      <c r="J276" s="1556">
        <f>OT!I86</f>
        <v>1500</v>
      </c>
    </row>
    <row r="277" spans="1:10">
      <c r="A277" s="1304"/>
      <c r="B277" s="1520">
        <v>3631</v>
      </c>
      <c r="C277" s="1552" t="s">
        <v>228</v>
      </c>
      <c r="D277" s="1553">
        <v>70</v>
      </c>
      <c r="E277" s="1557" t="s">
        <v>136</v>
      </c>
      <c r="F277" s="201" t="s">
        <v>431</v>
      </c>
      <c r="G277" s="1555">
        <f>OT!F87</f>
        <v>1050</v>
      </c>
      <c r="H277" s="1555">
        <f>OT!G87</f>
        <v>1050</v>
      </c>
      <c r="I277" s="1556">
        <f>OT!H87</f>
        <v>0</v>
      </c>
      <c r="J277" s="1556">
        <f>OT!I87</f>
        <v>0</v>
      </c>
    </row>
    <row r="278" spans="1:10">
      <c r="A278" s="1304"/>
      <c r="B278" s="1520">
        <v>3631</v>
      </c>
      <c r="C278" s="1552" t="s">
        <v>228</v>
      </c>
      <c r="D278" s="1553">
        <v>70</v>
      </c>
      <c r="E278" s="1557" t="s">
        <v>136</v>
      </c>
      <c r="F278" s="201" t="s">
        <v>433</v>
      </c>
      <c r="G278" s="1555">
        <f>OT!F88</f>
        <v>1350</v>
      </c>
      <c r="H278" s="1555">
        <f>OT!G88</f>
        <v>1350</v>
      </c>
      <c r="I278" s="1556">
        <f>OT!H88</f>
        <v>0</v>
      </c>
      <c r="J278" s="1556">
        <f>OT!I88</f>
        <v>1282</v>
      </c>
    </row>
    <row r="279" spans="1:10">
      <c r="A279" s="1304"/>
      <c r="B279" s="1520">
        <v>3631</v>
      </c>
      <c r="C279" s="1552" t="s">
        <v>228</v>
      </c>
      <c r="D279" s="1553">
        <v>70</v>
      </c>
      <c r="E279" s="1557" t="s">
        <v>136</v>
      </c>
      <c r="F279" s="201" t="s">
        <v>435</v>
      </c>
      <c r="G279" s="1555">
        <f>OT!F89</f>
        <v>540</v>
      </c>
      <c r="H279" s="1555">
        <f>OT!G89</f>
        <v>540</v>
      </c>
      <c r="I279" s="1556">
        <f>OT!H89</f>
        <v>0</v>
      </c>
      <c r="J279" s="1556">
        <f>OT!I89</f>
        <v>301</v>
      </c>
    </row>
    <row r="280" spans="1:10">
      <c r="A280" s="1304"/>
      <c r="B280" s="1520">
        <v>3631</v>
      </c>
      <c r="C280" s="1552" t="s">
        <v>228</v>
      </c>
      <c r="D280" s="1553">
        <v>70</v>
      </c>
      <c r="E280" s="1557" t="s">
        <v>136</v>
      </c>
      <c r="F280" s="201" t="s">
        <v>437</v>
      </c>
      <c r="G280" s="1555">
        <f>OT!F90</f>
        <v>0</v>
      </c>
      <c r="H280" s="1555">
        <f>OT!G90</f>
        <v>1000</v>
      </c>
      <c r="I280" s="1556">
        <f>OT!H90</f>
        <v>0</v>
      </c>
      <c r="J280" s="1556">
        <f>OT!I90</f>
        <v>432</v>
      </c>
    </row>
    <row r="281" spans="1:10">
      <c r="A281" s="1304"/>
      <c r="B281" s="1520">
        <v>3631</v>
      </c>
      <c r="C281" s="1552" t="s">
        <v>228</v>
      </c>
      <c r="D281" s="1553">
        <v>70</v>
      </c>
      <c r="E281" s="1557" t="s">
        <v>136</v>
      </c>
      <c r="F281" s="201" t="s">
        <v>1159</v>
      </c>
      <c r="G281" s="1555">
        <f>OT!F74</f>
        <v>0</v>
      </c>
      <c r="H281" s="1555">
        <f>OT!G74</f>
        <v>0</v>
      </c>
      <c r="I281" s="1556">
        <f>OT!H74</f>
        <v>250</v>
      </c>
      <c r="J281" s="1556">
        <f>OT!I74</f>
        <v>250</v>
      </c>
    </row>
    <row r="282" spans="1:10">
      <c r="A282" s="1304"/>
      <c r="B282" s="1520">
        <v>3631</v>
      </c>
      <c r="C282" s="1552" t="s">
        <v>228</v>
      </c>
      <c r="D282" s="1553">
        <v>70</v>
      </c>
      <c r="E282" s="1557" t="s">
        <v>136</v>
      </c>
      <c r="F282" s="201" t="s">
        <v>1160</v>
      </c>
      <c r="G282" s="1555">
        <f>OT!F75</f>
        <v>0</v>
      </c>
      <c r="H282" s="1555">
        <f>OT!G75</f>
        <v>0</v>
      </c>
      <c r="I282" s="1556">
        <f>OT!H75</f>
        <v>1500</v>
      </c>
      <c r="J282" s="1556">
        <f>OT!I75</f>
        <v>1500</v>
      </c>
    </row>
    <row r="283" spans="1:10">
      <c r="A283" s="1304"/>
      <c r="B283" s="1520">
        <v>3631</v>
      </c>
      <c r="C283" s="1552" t="s">
        <v>228</v>
      </c>
      <c r="D283" s="1553">
        <v>70</v>
      </c>
      <c r="E283" s="1557" t="s">
        <v>136</v>
      </c>
      <c r="F283" s="201" t="s">
        <v>1161</v>
      </c>
      <c r="G283" s="1555">
        <f>OT!F60</f>
        <v>0</v>
      </c>
      <c r="H283" s="1555">
        <f>OT!G60</f>
        <v>0</v>
      </c>
      <c r="I283" s="1556">
        <f>OT!H60</f>
        <v>500</v>
      </c>
      <c r="J283" s="1556">
        <f>OT!I60</f>
        <v>500</v>
      </c>
    </row>
    <row r="284" spans="1:10">
      <c r="A284" s="1304">
        <v>7059</v>
      </c>
      <c r="B284" s="1520">
        <v>2212</v>
      </c>
      <c r="C284" s="1552" t="s">
        <v>465</v>
      </c>
      <c r="D284" s="1553">
        <v>70</v>
      </c>
      <c r="E284" s="1557" t="s">
        <v>136</v>
      </c>
      <c r="F284" s="201" t="s">
        <v>439</v>
      </c>
      <c r="G284" s="1555">
        <f>OT!F91</f>
        <v>100</v>
      </c>
      <c r="H284" s="1555">
        <f>OT!G91</f>
        <v>100</v>
      </c>
      <c r="I284" s="1556">
        <f>OT!H91</f>
        <v>0</v>
      </c>
      <c r="J284" s="1556">
        <f>OT!I91</f>
        <v>0</v>
      </c>
    </row>
    <row r="285" spans="1:10">
      <c r="A285" s="1304">
        <v>7070</v>
      </c>
      <c r="B285" s="1519">
        <v>1031</v>
      </c>
      <c r="C285" s="1552" t="s">
        <v>164</v>
      </c>
      <c r="D285" s="1553">
        <v>70</v>
      </c>
      <c r="E285" s="1557" t="s">
        <v>136</v>
      </c>
      <c r="F285" s="201" t="s">
        <v>441</v>
      </c>
      <c r="G285" s="1555">
        <f>OT!F92</f>
        <v>4500</v>
      </c>
      <c r="H285" s="1555">
        <f>OT!G92</f>
        <v>4500</v>
      </c>
      <c r="I285" s="1556">
        <f>OT!H92</f>
        <v>0</v>
      </c>
      <c r="J285" s="1556">
        <f>OT!I92</f>
        <v>0</v>
      </c>
    </row>
    <row r="286" spans="1:10">
      <c r="A286" s="1304">
        <v>7070</v>
      </c>
      <c r="B286" s="1519">
        <v>1031</v>
      </c>
      <c r="C286" s="1552" t="s">
        <v>164</v>
      </c>
      <c r="D286" s="1553">
        <v>70</v>
      </c>
      <c r="E286" s="1557" t="s">
        <v>136</v>
      </c>
      <c r="F286" s="201" t="s">
        <v>442</v>
      </c>
      <c r="G286" s="1555">
        <f>OT!F93</f>
        <v>1600</v>
      </c>
      <c r="H286" s="1555">
        <f>OT!G93</f>
        <v>1600</v>
      </c>
      <c r="I286" s="1556">
        <f>OT!H93</f>
        <v>0</v>
      </c>
      <c r="J286" s="1556">
        <f>OT!I93</f>
        <v>0</v>
      </c>
    </row>
    <row r="287" spans="1:10">
      <c r="A287" s="1304">
        <v>7070</v>
      </c>
      <c r="B287" s="1519">
        <v>1031</v>
      </c>
      <c r="C287" s="1552" t="s">
        <v>164</v>
      </c>
      <c r="D287" s="1553">
        <v>70</v>
      </c>
      <c r="E287" s="1557" t="s">
        <v>136</v>
      </c>
      <c r="F287" s="201" t="s">
        <v>1162</v>
      </c>
      <c r="G287" s="1555">
        <f>OT!F62</f>
        <v>0</v>
      </c>
      <c r="H287" s="1555">
        <f>OT!G62</f>
        <v>0</v>
      </c>
      <c r="I287" s="1556">
        <f>OT!H62</f>
        <v>500</v>
      </c>
      <c r="J287" s="1556">
        <f>OT!I62</f>
        <v>500</v>
      </c>
    </row>
    <row r="288" spans="1:10">
      <c r="A288" s="1304">
        <v>7070</v>
      </c>
      <c r="B288" s="1519">
        <v>1031</v>
      </c>
      <c r="C288" s="1552" t="s">
        <v>164</v>
      </c>
      <c r="D288" s="1553">
        <v>70</v>
      </c>
      <c r="E288" s="1557" t="s">
        <v>136</v>
      </c>
      <c r="F288" s="201" t="s">
        <v>444</v>
      </c>
      <c r="G288" s="1555">
        <f>OT!F94</f>
        <v>0</v>
      </c>
      <c r="H288" s="1555">
        <f>OT!G94</f>
        <v>75.314920000000001</v>
      </c>
      <c r="I288" s="1556">
        <f>OT!H94</f>
        <v>0</v>
      </c>
      <c r="J288" s="1556">
        <f>OT!I94</f>
        <v>0</v>
      </c>
    </row>
    <row r="289" spans="1:10">
      <c r="A289" s="1304">
        <v>7070</v>
      </c>
      <c r="B289" s="1519">
        <v>1031</v>
      </c>
      <c r="C289" s="1552" t="s">
        <v>164</v>
      </c>
      <c r="D289" s="1553">
        <v>70</v>
      </c>
      <c r="E289" s="1557" t="s">
        <v>136</v>
      </c>
      <c r="F289" s="201" t="s">
        <v>1166</v>
      </c>
      <c r="G289" s="1555">
        <f>SUM(OT!F57)</f>
        <v>0</v>
      </c>
      <c r="H289" s="1555">
        <f>SUM(OT!G57)</f>
        <v>0</v>
      </c>
      <c r="I289" s="1556">
        <f>SUM(OT!H57)</f>
        <v>1053</v>
      </c>
      <c r="J289" s="1556">
        <f>SUM(OT!I57)</f>
        <v>1053</v>
      </c>
    </row>
    <row r="290" spans="1:10">
      <c r="A290" s="1304">
        <v>7077</v>
      </c>
      <c r="B290" s="1520">
        <v>3599</v>
      </c>
      <c r="C290" s="1552" t="s">
        <v>466</v>
      </c>
      <c r="D290" s="1553">
        <v>70</v>
      </c>
      <c r="E290" s="1557" t="s">
        <v>136</v>
      </c>
      <c r="F290" s="201" t="s">
        <v>445</v>
      </c>
      <c r="G290" s="1555">
        <f>OT!F95</f>
        <v>1000</v>
      </c>
      <c r="H290" s="1555">
        <f>OT!G95</f>
        <v>1000</v>
      </c>
      <c r="I290" s="1556">
        <f>OT!H95</f>
        <v>0</v>
      </c>
      <c r="J290" s="1556">
        <f>OT!I95</f>
        <v>824.58299999999997</v>
      </c>
    </row>
    <row r="291" spans="1:10">
      <c r="A291" s="1304">
        <v>7077</v>
      </c>
      <c r="B291" s="1520">
        <v>3599</v>
      </c>
      <c r="C291" s="1552" t="s">
        <v>466</v>
      </c>
      <c r="D291" s="1553">
        <v>70</v>
      </c>
      <c r="E291" s="1557" t="s">
        <v>136</v>
      </c>
      <c r="F291" s="201" t="s">
        <v>1163</v>
      </c>
      <c r="G291" s="1555">
        <f>OT!F63</f>
        <v>0</v>
      </c>
      <c r="H291" s="1555">
        <f>OT!G63</f>
        <v>0</v>
      </c>
      <c r="I291" s="1556">
        <f>OT!H63</f>
        <v>300</v>
      </c>
      <c r="J291" s="1556">
        <f>OT!I63</f>
        <v>300</v>
      </c>
    </row>
    <row r="292" spans="1:10">
      <c r="A292" s="1304">
        <v>7077</v>
      </c>
      <c r="B292" s="1520">
        <v>3599</v>
      </c>
      <c r="C292" s="1552" t="s">
        <v>466</v>
      </c>
      <c r="D292" s="1553">
        <v>70</v>
      </c>
      <c r="E292" s="1557" t="s">
        <v>136</v>
      </c>
      <c r="F292" s="201" t="s">
        <v>446</v>
      </c>
      <c r="G292" s="1555">
        <f>OT!F67</f>
        <v>200</v>
      </c>
      <c r="H292" s="1555">
        <f>OT!G67</f>
        <v>200</v>
      </c>
      <c r="I292" s="1556">
        <f>OT!H67</f>
        <v>300</v>
      </c>
      <c r="J292" s="1556">
        <f>OT!I67</f>
        <v>300</v>
      </c>
    </row>
    <row r="293" spans="1:10">
      <c r="A293" s="1304">
        <v>7077</v>
      </c>
      <c r="B293" s="1520">
        <v>3599</v>
      </c>
      <c r="C293" s="1552" t="s">
        <v>466</v>
      </c>
      <c r="D293" s="1553">
        <v>70</v>
      </c>
      <c r="E293" s="1557" t="s">
        <v>136</v>
      </c>
      <c r="F293" s="201" t="s">
        <v>447</v>
      </c>
      <c r="G293" s="1555">
        <f>OT!F80</f>
        <v>8000</v>
      </c>
      <c r="H293" s="1555">
        <f>OT!G80</f>
        <v>8000</v>
      </c>
      <c r="I293" s="1556">
        <f>OT!H80</f>
        <v>0</v>
      </c>
      <c r="J293" s="1556">
        <f>OT!I80</f>
        <v>0</v>
      </c>
    </row>
    <row r="294" spans="1:10" s="1311" customFormat="1">
      <c r="A294" s="1310">
        <v>7077</v>
      </c>
      <c r="B294" s="1509">
        <v>3599</v>
      </c>
      <c r="C294" s="1536" t="s">
        <v>466</v>
      </c>
      <c r="D294" s="1537">
        <v>70</v>
      </c>
      <c r="E294" s="1541" t="s">
        <v>136</v>
      </c>
      <c r="F294" s="201" t="s">
        <v>448</v>
      </c>
      <c r="G294" s="1539">
        <f>OT!F64</f>
        <v>0</v>
      </c>
      <c r="H294" s="1539">
        <f>OT!G64</f>
        <v>2650</v>
      </c>
      <c r="I294" s="1540">
        <f>OT!H66</f>
        <v>2200</v>
      </c>
      <c r="J294" s="1540">
        <f>OT!I66</f>
        <v>4850</v>
      </c>
    </row>
    <row r="295" spans="1:10">
      <c r="A295" s="1304">
        <v>7072</v>
      </c>
      <c r="B295" s="1520">
        <v>3745</v>
      </c>
      <c r="C295" s="1552" t="s">
        <v>164</v>
      </c>
      <c r="D295" s="1553">
        <v>70</v>
      </c>
      <c r="E295" s="1557" t="s">
        <v>136</v>
      </c>
      <c r="F295" s="201" t="s">
        <v>449</v>
      </c>
      <c r="G295" s="1555">
        <f>OT!F79</f>
        <v>1900</v>
      </c>
      <c r="H295" s="1555">
        <f>OT!G79</f>
        <v>1900</v>
      </c>
      <c r="I295" s="1556">
        <f>OT!H79</f>
        <v>0</v>
      </c>
      <c r="J295" s="1556">
        <f>OT!I79</f>
        <v>0</v>
      </c>
    </row>
    <row r="296" spans="1:10">
      <c r="A296" s="1304">
        <v>7072</v>
      </c>
      <c r="B296" s="1520">
        <v>3745</v>
      </c>
      <c r="C296" s="1552" t="s">
        <v>164</v>
      </c>
      <c r="D296" s="1553">
        <v>70</v>
      </c>
      <c r="E296" s="1557" t="s">
        <v>136</v>
      </c>
      <c r="F296" s="201" t="s">
        <v>450</v>
      </c>
      <c r="G296" s="1555">
        <f>OT!F96</f>
        <v>7000</v>
      </c>
      <c r="H296" s="1555">
        <f>OT!G96</f>
        <v>7000</v>
      </c>
      <c r="I296" s="1556">
        <f>OT!H96</f>
        <v>0</v>
      </c>
      <c r="J296" s="1556">
        <f>OT!I96</f>
        <v>7000</v>
      </c>
    </row>
    <row r="297" spans="1:10">
      <c r="A297" s="1304">
        <v>7072</v>
      </c>
      <c r="B297" s="1520">
        <v>3745</v>
      </c>
      <c r="C297" s="1552" t="s">
        <v>164</v>
      </c>
      <c r="D297" s="1553">
        <v>70</v>
      </c>
      <c r="E297" s="1557" t="s">
        <v>136</v>
      </c>
      <c r="F297" s="201" t="s">
        <v>451</v>
      </c>
      <c r="G297" s="1555">
        <f>OT!F97</f>
        <v>4600</v>
      </c>
      <c r="H297" s="1555">
        <f>OT!G97</f>
        <v>4600</v>
      </c>
      <c r="I297" s="1556">
        <f>OT!H97</f>
        <v>0</v>
      </c>
      <c r="J297" s="1556">
        <f>OT!I97</f>
        <v>4600</v>
      </c>
    </row>
    <row r="298" spans="1:10">
      <c r="A298" s="1304">
        <v>7072</v>
      </c>
      <c r="B298" s="1520">
        <v>3745</v>
      </c>
      <c r="C298" s="1552" t="s">
        <v>164</v>
      </c>
      <c r="D298" s="1553">
        <v>70</v>
      </c>
      <c r="E298" s="1557" t="s">
        <v>136</v>
      </c>
      <c r="F298" s="201" t="s">
        <v>452</v>
      </c>
      <c r="G298" s="1555">
        <f>OT!F98</f>
        <v>3500</v>
      </c>
      <c r="H298" s="1555">
        <f>OT!G98</f>
        <v>3500</v>
      </c>
      <c r="I298" s="1556">
        <f>OT!H98</f>
        <v>0</v>
      </c>
      <c r="J298" s="1556">
        <f>OT!I98</f>
        <v>2500</v>
      </c>
    </row>
    <row r="299" spans="1:10">
      <c r="A299" s="1304">
        <v>7072</v>
      </c>
      <c r="B299" s="1520">
        <v>3745</v>
      </c>
      <c r="C299" s="1552" t="s">
        <v>164</v>
      </c>
      <c r="D299" s="1553">
        <v>70</v>
      </c>
      <c r="E299" s="1557" t="s">
        <v>136</v>
      </c>
      <c r="F299" s="201" t="s">
        <v>453</v>
      </c>
      <c r="G299" s="1555">
        <f>OT!F99</f>
        <v>350</v>
      </c>
      <c r="H299" s="1555">
        <f>OT!G99</f>
        <v>350</v>
      </c>
      <c r="I299" s="1556">
        <f>OT!H99</f>
        <v>0</v>
      </c>
      <c r="J299" s="1556">
        <f>OT!I99</f>
        <v>0</v>
      </c>
    </row>
    <row r="300" spans="1:10">
      <c r="A300" s="1304">
        <v>7072</v>
      </c>
      <c r="B300" s="1520">
        <v>3745</v>
      </c>
      <c r="C300" s="1552" t="s">
        <v>164</v>
      </c>
      <c r="D300" s="1553">
        <v>70</v>
      </c>
      <c r="E300" s="1557" t="s">
        <v>136</v>
      </c>
      <c r="F300" s="201" t="s">
        <v>454</v>
      </c>
      <c r="G300" s="1555">
        <f>OT!F100</f>
        <v>200</v>
      </c>
      <c r="H300" s="1555">
        <f>OT!G100</f>
        <v>200</v>
      </c>
      <c r="I300" s="1556">
        <f>OT!H100</f>
        <v>0</v>
      </c>
      <c r="J300" s="1556">
        <f>OT!I100</f>
        <v>0</v>
      </c>
    </row>
    <row r="301" spans="1:10">
      <c r="A301" s="1304">
        <v>7072</v>
      </c>
      <c r="B301" s="1520">
        <v>3745</v>
      </c>
      <c r="C301" s="1552" t="s">
        <v>164</v>
      </c>
      <c r="D301" s="1553">
        <v>70</v>
      </c>
      <c r="E301" s="1557" t="s">
        <v>136</v>
      </c>
      <c r="F301" s="201" t="s">
        <v>455</v>
      </c>
      <c r="G301" s="1555">
        <f>OT!F101</f>
        <v>0</v>
      </c>
      <c r="H301" s="1555">
        <f>OT!G101</f>
        <v>425.91899999999998</v>
      </c>
      <c r="I301" s="1556">
        <f>OT!H101</f>
        <v>0</v>
      </c>
      <c r="J301" s="1556">
        <f>OT!I101</f>
        <v>0</v>
      </c>
    </row>
    <row r="302" spans="1:10">
      <c r="A302" s="1304">
        <v>7072</v>
      </c>
      <c r="B302" s="1520">
        <v>3745</v>
      </c>
      <c r="C302" s="1552" t="s">
        <v>164</v>
      </c>
      <c r="D302" s="1553">
        <v>70</v>
      </c>
      <c r="E302" s="1557" t="s">
        <v>136</v>
      </c>
      <c r="F302" s="201" t="s">
        <v>456</v>
      </c>
      <c r="G302" s="1555">
        <f>OT!F102</f>
        <v>4500</v>
      </c>
      <c r="H302" s="1555">
        <f>OT!G102</f>
        <v>4500</v>
      </c>
      <c r="I302" s="1556">
        <f>OT!H102</f>
        <v>0</v>
      </c>
      <c r="J302" s="1556">
        <f>OT!I102</f>
        <v>4500</v>
      </c>
    </row>
    <row r="303" spans="1:10">
      <c r="A303" s="1304">
        <v>7072</v>
      </c>
      <c r="B303" s="1520">
        <v>3745</v>
      </c>
      <c r="C303" s="1552" t="s">
        <v>164</v>
      </c>
      <c r="D303" s="1553">
        <v>70</v>
      </c>
      <c r="E303" s="1557" t="s">
        <v>136</v>
      </c>
      <c r="F303" s="201" t="s">
        <v>1167</v>
      </c>
      <c r="G303" s="1555">
        <f>SUM(OT!F58)</f>
        <v>0</v>
      </c>
      <c r="H303" s="1555">
        <f>SUM(OT!G58)</f>
        <v>0</v>
      </c>
      <c r="I303" s="1556">
        <f>SUM(OT!H58)</f>
        <v>860</v>
      </c>
      <c r="J303" s="1556">
        <f>SUM(OT!I58)</f>
        <v>860</v>
      </c>
    </row>
    <row r="304" spans="1:10">
      <c r="A304" s="1304">
        <v>7072</v>
      </c>
      <c r="B304" s="1520">
        <v>3745</v>
      </c>
      <c r="C304" s="1552" t="s">
        <v>164</v>
      </c>
      <c r="D304" s="1553">
        <v>70</v>
      </c>
      <c r="E304" s="1557" t="s">
        <v>136</v>
      </c>
      <c r="F304" s="201" t="s">
        <v>1164</v>
      </c>
      <c r="G304" s="1555">
        <f>OT!F76</f>
        <v>0</v>
      </c>
      <c r="H304" s="1555">
        <f>OT!G76</f>
        <v>0</v>
      </c>
      <c r="I304" s="1556">
        <f>OT!H76</f>
        <v>1200</v>
      </c>
      <c r="J304" s="1556">
        <f>OT!I76</f>
        <v>1200</v>
      </c>
    </row>
    <row r="305" spans="1:10">
      <c r="A305" s="1304">
        <v>7072</v>
      </c>
      <c r="B305" s="1520">
        <v>3745</v>
      </c>
      <c r="C305" s="1552" t="s">
        <v>164</v>
      </c>
      <c r="D305" s="1553">
        <v>70</v>
      </c>
      <c r="E305" s="1557" t="s">
        <v>136</v>
      </c>
      <c r="F305" s="201" t="s">
        <v>1165</v>
      </c>
      <c r="G305" s="1555">
        <f>OT!F77</f>
        <v>0</v>
      </c>
      <c r="H305" s="1555">
        <f>OT!G77</f>
        <v>0</v>
      </c>
      <c r="I305" s="1556">
        <f>OT!H77</f>
        <v>1000</v>
      </c>
      <c r="J305" s="1556">
        <f>OT!I77</f>
        <v>1000</v>
      </c>
    </row>
    <row r="306" spans="1:10" ht="15.75" thickBot="1">
      <c r="A306" s="1304"/>
      <c r="B306" s="1521">
        <f>SUM(B230:B243)</f>
        <v>37378.639900000002</v>
      </c>
      <c r="C306" s="1525"/>
      <c r="D306" s="1526"/>
      <c r="E306" s="1527"/>
      <c r="F306" s="1524"/>
      <c r="G306" s="1528"/>
      <c r="H306" s="1528"/>
      <c r="I306" s="1529"/>
      <c r="J306" s="1529"/>
    </row>
    <row r="307" spans="1:10" ht="15.75" thickBot="1">
      <c r="A307" s="1505" t="s">
        <v>1190</v>
      </c>
      <c r="B307" s="1506"/>
      <c r="C307" s="1936" t="s">
        <v>1190</v>
      </c>
      <c r="D307" s="1937"/>
      <c r="E307" s="1937"/>
      <c r="F307" s="1938"/>
      <c r="G307" s="1530" t="e">
        <f>SUM(G2:G305)</f>
        <v>#REF!</v>
      </c>
      <c r="H307" s="1530" t="e">
        <f>SUM(H2:H305)</f>
        <v>#REF!</v>
      </c>
      <c r="I307" s="1531">
        <f>SUM(I2:I305)</f>
        <v>1150154.912</v>
      </c>
      <c r="J307" s="1531">
        <f>SUM(J2:J305)</f>
        <v>1342085.996</v>
      </c>
    </row>
    <row r="309" spans="1:10">
      <c r="F309" s="202" t="s">
        <v>1191</v>
      </c>
      <c r="G309" s="956">
        <f>SUM(Rekapit.odbory!C29)</f>
        <v>1093832.26</v>
      </c>
      <c r="H309" s="956">
        <f>SUM(Rekapit.odbory!D29)</f>
        <v>1345452.0399399998</v>
      </c>
      <c r="I309" s="1307">
        <f>SUM(Rekapit.odbory!E29)</f>
        <v>1150154.912</v>
      </c>
      <c r="J309" s="1307">
        <f>SUM(Rekapit.odbory!F29)</f>
        <v>1342085.9960000003</v>
      </c>
    </row>
    <row r="311" spans="1:10">
      <c r="F311" s="834" t="s">
        <v>1181</v>
      </c>
      <c r="G311" s="957" t="e">
        <f>G307-G309</f>
        <v>#REF!</v>
      </c>
      <c r="H311" s="958" t="e">
        <f>H307-H309</f>
        <v>#REF!</v>
      </c>
      <c r="I311" s="1308">
        <f t="shared" ref="I311:J311" si="0">I307-I309</f>
        <v>0</v>
      </c>
      <c r="J311" s="1308">
        <f t="shared" si="0"/>
        <v>0</v>
      </c>
    </row>
  </sheetData>
  <autoFilter ref="D1:D311">
    <filterColumn colId="0"/>
  </autoFilter>
  <mergeCells count="1">
    <mergeCell ref="C307:F307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1" firstPageNumber="7" orientation="portrait" useFirstPageNumber="1" r:id="rId1"/>
  <headerFooter>
    <oddHeader>&amp;C&amp;"Calibri,Tučné"I. Závazné ukazatele</oddHeader>
    <oddFooter>&amp;C&amp;P</oddFooter>
  </headerFooter>
  <rowBreaks count="4" manualBreakCount="4">
    <brk id="84" min="2" max="8" man="1"/>
    <brk id="197" min="2" max="8" man="1"/>
    <brk id="272" min="2" max="8" man="1"/>
    <brk id="307" max="8" man="1"/>
  </rowBreaks>
  <colBreaks count="1" manualBreakCount="1">
    <brk id="9" max="1048575" man="1"/>
  </colBreaks>
  <ignoredErrors>
    <ignoredError sqref="G32:I32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T123"/>
  <sheetViews>
    <sheetView topLeftCell="A16" zoomScaleNormal="100" workbookViewId="0">
      <selection activeCell="G30" sqref="G30"/>
    </sheetView>
  </sheetViews>
  <sheetFormatPr defaultRowHeight="15"/>
  <cols>
    <col min="1" max="1" width="4.5703125" style="804" customWidth="1"/>
    <col min="2" max="2" width="31.5703125" style="804" customWidth="1"/>
    <col min="3" max="3" width="11.42578125" style="805" customWidth="1"/>
    <col min="4" max="4" width="11.42578125" style="805" hidden="1" customWidth="1"/>
    <col min="5" max="6" width="11.42578125" style="805" customWidth="1"/>
    <col min="7" max="7" width="13.140625" style="925" customWidth="1"/>
    <col min="8" max="8" width="13.42578125" style="925" customWidth="1"/>
    <col min="9" max="9" width="12.85546875" style="1018" customWidth="1"/>
    <col min="10" max="20" width="9.140625" style="1019"/>
    <col min="21" max="16384" width="9.140625" style="804"/>
  </cols>
  <sheetData>
    <row r="1" spans="1:20" s="788" customFormat="1">
      <c r="A1" s="786"/>
      <c r="B1" s="786"/>
      <c r="C1" s="787"/>
      <c r="D1" s="787"/>
      <c r="E1" s="787"/>
      <c r="F1" s="787"/>
      <c r="G1" s="914"/>
      <c r="H1" s="914"/>
      <c r="I1" s="934"/>
      <c r="J1" s="800"/>
      <c r="K1" s="800"/>
      <c r="L1" s="800"/>
      <c r="M1" s="800"/>
      <c r="N1" s="800"/>
      <c r="O1" s="800"/>
      <c r="P1" s="800"/>
      <c r="Q1" s="800"/>
      <c r="R1" s="800"/>
      <c r="S1" s="800"/>
      <c r="T1" s="800"/>
    </row>
    <row r="2" spans="1:20" s="788" customFormat="1" ht="20.100000000000001" customHeight="1">
      <c r="A2" s="786"/>
      <c r="B2" s="786"/>
      <c r="C2" s="787"/>
      <c r="D2" s="787"/>
      <c r="E2" s="787"/>
      <c r="F2" s="787"/>
      <c r="G2" s="914"/>
      <c r="H2" s="914"/>
      <c r="I2" s="934"/>
      <c r="J2" s="800"/>
      <c r="K2" s="800"/>
      <c r="L2" s="800"/>
      <c r="M2" s="800"/>
      <c r="N2" s="800"/>
      <c r="O2" s="800"/>
      <c r="P2" s="800"/>
      <c r="Q2" s="800"/>
      <c r="R2" s="800"/>
      <c r="S2" s="800"/>
      <c r="T2" s="800"/>
    </row>
    <row r="3" spans="1:20" s="790" customFormat="1" ht="12.75">
      <c r="A3" s="789"/>
      <c r="B3" s="789"/>
      <c r="C3" s="133"/>
      <c r="D3" s="133"/>
      <c r="E3" s="133"/>
      <c r="F3" s="133"/>
      <c r="G3" s="915"/>
      <c r="H3" s="915"/>
      <c r="I3" s="1009"/>
      <c r="J3" s="1010"/>
      <c r="K3" s="1010"/>
      <c r="L3" s="1010"/>
      <c r="M3" s="1010"/>
      <c r="N3" s="1010"/>
      <c r="O3" s="1010"/>
      <c r="P3" s="1010"/>
      <c r="Q3" s="1010"/>
      <c r="R3" s="1010"/>
      <c r="S3" s="1010"/>
      <c r="T3" s="1010"/>
    </row>
    <row r="4" spans="1:20" s="788" customFormat="1" ht="12.75" customHeight="1">
      <c r="A4" s="786"/>
      <c r="B4" s="786"/>
      <c r="C4" s="787"/>
      <c r="D4" s="787"/>
      <c r="E4" s="787"/>
      <c r="F4" s="787"/>
      <c r="G4" s="914"/>
      <c r="H4" s="914"/>
      <c r="I4" s="934"/>
      <c r="J4" s="800"/>
      <c r="K4" s="800"/>
      <c r="L4" s="800"/>
      <c r="M4" s="800"/>
      <c r="N4" s="800"/>
      <c r="O4" s="800"/>
      <c r="P4" s="800"/>
      <c r="Q4" s="800"/>
      <c r="R4" s="800"/>
      <c r="S4" s="800"/>
      <c r="T4" s="800"/>
    </row>
    <row r="5" spans="1:20" s="788" customFormat="1" ht="15.75" customHeight="1">
      <c r="A5" s="786"/>
      <c r="B5" s="786"/>
      <c r="C5" s="787"/>
      <c r="D5" s="787"/>
      <c r="E5" s="787"/>
      <c r="F5" s="787"/>
      <c r="G5" s="926"/>
      <c r="H5" s="914"/>
      <c r="I5" s="934"/>
      <c r="J5" s="800"/>
      <c r="K5" s="800"/>
      <c r="L5" s="800"/>
      <c r="M5" s="800"/>
      <c r="N5" s="800"/>
      <c r="O5" s="800"/>
      <c r="P5" s="800"/>
      <c r="Q5" s="800"/>
      <c r="R5" s="800"/>
      <c r="S5" s="800"/>
      <c r="T5" s="800"/>
    </row>
    <row r="6" spans="1:20" s="788" customFormat="1" ht="6" customHeight="1" thickBot="1">
      <c r="A6" s="786"/>
      <c r="B6" s="786"/>
      <c r="C6" s="787"/>
      <c r="D6" s="787"/>
      <c r="E6" s="787"/>
      <c r="F6" s="787"/>
      <c r="G6" s="914"/>
      <c r="H6" s="914"/>
      <c r="I6" s="934"/>
      <c r="J6" s="800"/>
      <c r="K6" s="800"/>
      <c r="L6" s="800"/>
      <c r="M6" s="800"/>
      <c r="N6" s="800"/>
      <c r="O6" s="800"/>
      <c r="P6" s="800"/>
      <c r="Q6" s="800"/>
      <c r="R6" s="800"/>
      <c r="S6" s="800"/>
      <c r="T6" s="800"/>
    </row>
    <row r="7" spans="1:20" s="788" customFormat="1" ht="15.75" customHeight="1" thickTop="1" thickBot="1">
      <c r="A7" s="1943" t="s">
        <v>1168</v>
      </c>
      <c r="B7" s="1944"/>
      <c r="C7" s="1927" t="s">
        <v>44</v>
      </c>
      <c r="D7" s="1927" t="s">
        <v>43</v>
      </c>
      <c r="E7" s="1927" t="s">
        <v>1487</v>
      </c>
      <c r="F7" s="1947" t="s">
        <v>1488</v>
      </c>
      <c r="G7" s="916"/>
      <c r="H7" s="916"/>
      <c r="I7" s="934"/>
      <c r="J7" s="800"/>
      <c r="K7" s="800"/>
      <c r="L7" s="800"/>
      <c r="M7" s="800"/>
      <c r="N7" s="800"/>
      <c r="O7" s="800"/>
      <c r="P7" s="800"/>
      <c r="Q7" s="800"/>
      <c r="R7" s="800"/>
      <c r="S7" s="800"/>
      <c r="T7" s="800"/>
    </row>
    <row r="8" spans="1:20" s="788" customFormat="1" ht="15.75" customHeight="1" thickBot="1">
      <c r="A8" s="1958"/>
      <c r="B8" s="1959"/>
      <c r="C8" s="1928"/>
      <c r="D8" s="1928"/>
      <c r="E8" s="1928"/>
      <c r="F8" s="1948"/>
      <c r="G8" s="916"/>
      <c r="H8" s="916"/>
      <c r="I8" s="934"/>
      <c r="J8" s="800"/>
      <c r="K8" s="800"/>
      <c r="L8" s="800"/>
      <c r="M8" s="800"/>
      <c r="N8" s="800"/>
      <c r="O8" s="800"/>
      <c r="P8" s="800"/>
      <c r="Q8" s="800"/>
      <c r="R8" s="800"/>
      <c r="S8" s="800"/>
      <c r="T8" s="800"/>
    </row>
    <row r="9" spans="1:20" s="788" customFormat="1" ht="15.75" customHeight="1" thickBot="1">
      <c r="A9" s="1945"/>
      <c r="B9" s="1946"/>
      <c r="C9" s="1929"/>
      <c r="D9" s="1929"/>
      <c r="E9" s="1929"/>
      <c r="F9" s="1949"/>
      <c r="G9" s="916"/>
      <c r="H9" s="916"/>
      <c r="I9" s="934"/>
      <c r="J9" s="800"/>
      <c r="K9" s="800"/>
      <c r="L9" s="800"/>
      <c r="M9" s="800"/>
      <c r="N9" s="800"/>
      <c r="O9" s="800"/>
      <c r="P9" s="800"/>
      <c r="Q9" s="800"/>
      <c r="R9" s="800"/>
      <c r="S9" s="800"/>
      <c r="T9" s="800"/>
    </row>
    <row r="10" spans="1:20" s="788" customFormat="1" ht="15.75" customHeight="1" thickTop="1" thickBot="1">
      <c r="A10" s="806" t="s">
        <v>0</v>
      </c>
      <c r="B10" s="807" t="s">
        <v>1</v>
      </c>
      <c r="C10" s="808">
        <f t="shared" ref="C10:E27" si="0">C36+C60</f>
        <v>132530</v>
      </c>
      <c r="D10" s="808">
        <f t="shared" si="0"/>
        <v>139846.177</v>
      </c>
      <c r="E10" s="808">
        <f t="shared" si="0"/>
        <v>139987</v>
      </c>
      <c r="F10" s="1293">
        <f t="shared" ref="F10" si="1">F36+F60</f>
        <v>139987</v>
      </c>
      <c r="G10" s="917"/>
      <c r="H10" s="917"/>
      <c r="I10" s="934"/>
      <c r="J10" s="800"/>
      <c r="K10" s="800"/>
      <c r="L10" s="800"/>
      <c r="M10" s="800"/>
      <c r="N10" s="800"/>
      <c r="O10" s="800"/>
      <c r="P10" s="800"/>
      <c r="Q10" s="800"/>
      <c r="R10" s="800"/>
      <c r="S10" s="800"/>
      <c r="T10" s="800"/>
    </row>
    <row r="11" spans="1:20" s="788" customFormat="1" ht="15.75" customHeight="1" thickBot="1">
      <c r="A11" s="792" t="s">
        <v>2</v>
      </c>
      <c r="B11" s="793" t="s">
        <v>3</v>
      </c>
      <c r="C11" s="794">
        <f t="shared" si="0"/>
        <v>2555</v>
      </c>
      <c r="D11" s="794">
        <f t="shared" si="0"/>
        <v>3014.779</v>
      </c>
      <c r="E11" s="794">
        <f t="shared" si="0"/>
        <v>320</v>
      </c>
      <c r="F11" s="1294">
        <f t="shared" ref="F11" si="2">F37+F61</f>
        <v>320</v>
      </c>
      <c r="G11" s="917"/>
      <c r="H11" s="917"/>
      <c r="I11" s="934"/>
      <c r="J11" s="800"/>
      <c r="K11" s="800"/>
      <c r="L11" s="800"/>
      <c r="M11" s="800"/>
      <c r="N11" s="800"/>
      <c r="O11" s="800"/>
      <c r="P11" s="800"/>
      <c r="Q11" s="800"/>
      <c r="R11" s="800"/>
      <c r="S11" s="800"/>
      <c r="T11" s="800"/>
    </row>
    <row r="12" spans="1:20" s="788" customFormat="1" ht="15.75" customHeight="1" thickBot="1">
      <c r="A12" s="792" t="s">
        <v>4</v>
      </c>
      <c r="B12" s="793" t="s">
        <v>5</v>
      </c>
      <c r="C12" s="794">
        <f t="shared" si="0"/>
        <v>70396</v>
      </c>
      <c r="D12" s="794">
        <f t="shared" si="0"/>
        <v>70647.861999999994</v>
      </c>
      <c r="E12" s="794">
        <f t="shared" si="0"/>
        <v>70399</v>
      </c>
      <c r="F12" s="1294">
        <f t="shared" ref="F12" si="3">F38+F62</f>
        <v>70399</v>
      </c>
      <c r="G12" s="917"/>
      <c r="H12" s="917"/>
      <c r="I12" s="934"/>
      <c r="J12" s="800"/>
      <c r="K12" s="800"/>
      <c r="L12" s="800"/>
      <c r="M12" s="800"/>
      <c r="N12" s="800"/>
      <c r="O12" s="800"/>
      <c r="P12" s="800"/>
      <c r="Q12" s="800"/>
      <c r="R12" s="800"/>
      <c r="S12" s="800"/>
      <c r="T12" s="800"/>
    </row>
    <row r="13" spans="1:20" s="788" customFormat="1" ht="15.75" customHeight="1" thickBot="1">
      <c r="A13" s="792" t="s">
        <v>6</v>
      </c>
      <c r="B13" s="793" t="s">
        <v>7</v>
      </c>
      <c r="C13" s="794">
        <f t="shared" si="0"/>
        <v>26</v>
      </c>
      <c r="D13" s="794">
        <f t="shared" si="0"/>
        <v>26</v>
      </c>
      <c r="E13" s="794">
        <f t="shared" si="0"/>
        <v>23</v>
      </c>
      <c r="F13" s="1294">
        <f t="shared" ref="F13" si="4">F39+F63</f>
        <v>23</v>
      </c>
      <c r="G13" s="917"/>
      <c r="H13" s="917"/>
      <c r="I13" s="934"/>
      <c r="J13" s="800"/>
      <c r="K13" s="800"/>
      <c r="L13" s="800"/>
      <c r="M13" s="800"/>
      <c r="N13" s="800"/>
      <c r="O13" s="800"/>
      <c r="P13" s="800"/>
      <c r="Q13" s="800"/>
      <c r="R13" s="800"/>
      <c r="S13" s="800"/>
      <c r="T13" s="800"/>
    </row>
    <row r="14" spans="1:20" s="788" customFormat="1" ht="15.75" customHeight="1" thickBot="1">
      <c r="A14" s="795">
        <v>13</v>
      </c>
      <c r="B14" s="796" t="s">
        <v>8</v>
      </c>
      <c r="C14" s="794">
        <f t="shared" si="0"/>
        <v>13953</v>
      </c>
      <c r="D14" s="794">
        <f t="shared" si="0"/>
        <v>35803</v>
      </c>
      <c r="E14" s="794">
        <f t="shared" si="0"/>
        <v>16071</v>
      </c>
      <c r="F14" s="1294">
        <f t="shared" ref="F14" si="5">F40+F64</f>
        <v>41624</v>
      </c>
      <c r="G14" s="917"/>
      <c r="H14" s="917"/>
      <c r="I14" s="934"/>
      <c r="J14" s="800"/>
      <c r="K14" s="800"/>
      <c r="L14" s="800"/>
      <c r="M14" s="800"/>
      <c r="N14" s="800"/>
      <c r="O14" s="800"/>
      <c r="P14" s="800"/>
      <c r="Q14" s="800"/>
      <c r="R14" s="800"/>
      <c r="S14" s="800"/>
      <c r="T14" s="800"/>
    </row>
    <row r="15" spans="1:20" s="788" customFormat="1" ht="15.75" customHeight="1" thickBot="1">
      <c r="A15" s="795">
        <v>17</v>
      </c>
      <c r="B15" s="796" t="s">
        <v>1169</v>
      </c>
      <c r="C15" s="794">
        <f t="shared" si="0"/>
        <v>0</v>
      </c>
      <c r="D15" s="794">
        <f t="shared" si="0"/>
        <v>60</v>
      </c>
      <c r="E15" s="794">
        <f t="shared" si="0"/>
        <v>0</v>
      </c>
      <c r="F15" s="1294">
        <f t="shared" ref="F15" si="6">F41+F65</f>
        <v>0</v>
      </c>
      <c r="G15" s="917"/>
      <c r="H15" s="917"/>
      <c r="I15" s="934"/>
      <c r="J15" s="800"/>
      <c r="K15" s="800"/>
      <c r="L15" s="800"/>
      <c r="M15" s="800"/>
      <c r="N15" s="800"/>
      <c r="O15" s="800"/>
      <c r="P15" s="800"/>
      <c r="Q15" s="800"/>
      <c r="R15" s="800"/>
      <c r="S15" s="800"/>
      <c r="T15" s="800"/>
    </row>
    <row r="16" spans="1:20" s="788" customFormat="1" ht="15.75" customHeight="1" thickBot="1">
      <c r="A16" s="792" t="s">
        <v>9</v>
      </c>
      <c r="B16" s="793" t="s">
        <v>10</v>
      </c>
      <c r="C16" s="794">
        <f t="shared" si="0"/>
        <v>22298</v>
      </c>
      <c r="D16" s="794">
        <f t="shared" si="0"/>
        <v>23895.669190000001</v>
      </c>
      <c r="E16" s="794">
        <f t="shared" si="0"/>
        <v>22221</v>
      </c>
      <c r="F16" s="1294">
        <f t="shared" ref="F16" si="7">F42+F66</f>
        <v>23081</v>
      </c>
      <c r="G16" s="917"/>
      <c r="H16" s="917"/>
      <c r="I16" s="934"/>
      <c r="J16" s="800"/>
      <c r="K16" s="800"/>
      <c r="L16" s="800"/>
      <c r="M16" s="800"/>
      <c r="N16" s="800"/>
      <c r="O16" s="800"/>
      <c r="P16" s="800"/>
      <c r="Q16" s="800"/>
      <c r="R16" s="800"/>
      <c r="S16" s="800"/>
      <c r="T16" s="800"/>
    </row>
    <row r="17" spans="1:20" s="788" customFormat="1" ht="15.75" customHeight="1" thickBot="1">
      <c r="A17" s="792" t="s">
        <v>11</v>
      </c>
      <c r="B17" s="793" t="s">
        <v>12</v>
      </c>
      <c r="C17" s="794">
        <f t="shared" si="0"/>
        <v>41446</v>
      </c>
      <c r="D17" s="794">
        <f t="shared" si="0"/>
        <v>43297</v>
      </c>
      <c r="E17" s="794">
        <f t="shared" si="0"/>
        <v>44340</v>
      </c>
      <c r="F17" s="1294">
        <f t="shared" ref="F17" si="8">F43+F67</f>
        <v>44340</v>
      </c>
      <c r="G17" s="917"/>
      <c r="H17" s="917"/>
      <c r="I17" s="934"/>
      <c r="J17" s="800"/>
      <c r="K17" s="800"/>
      <c r="L17" s="800"/>
      <c r="M17" s="800"/>
      <c r="N17" s="800"/>
      <c r="O17" s="800"/>
      <c r="P17" s="800"/>
      <c r="Q17" s="800"/>
      <c r="R17" s="800"/>
      <c r="S17" s="800"/>
      <c r="T17" s="800"/>
    </row>
    <row r="18" spans="1:20" s="788" customFormat="1" ht="15.75" customHeight="1" thickBot="1">
      <c r="A18" s="792" t="s">
        <v>13</v>
      </c>
      <c r="B18" s="793" t="s">
        <v>14</v>
      </c>
      <c r="C18" s="794">
        <f t="shared" si="0"/>
        <v>55975</v>
      </c>
      <c r="D18" s="794">
        <f t="shared" si="0"/>
        <v>65508.324209999992</v>
      </c>
      <c r="E18" s="794">
        <f t="shared" si="0"/>
        <v>32733.652000000002</v>
      </c>
      <c r="F18" s="1294">
        <f t="shared" ref="F18" si="9">F44+F68</f>
        <v>38031.351000000002</v>
      </c>
      <c r="G18" s="917"/>
      <c r="H18" s="917"/>
      <c r="I18" s="934"/>
      <c r="J18" s="800"/>
      <c r="K18" s="800"/>
      <c r="L18" s="800"/>
      <c r="M18" s="800"/>
      <c r="N18" s="800"/>
      <c r="O18" s="800"/>
      <c r="P18" s="800"/>
      <c r="Q18" s="800"/>
      <c r="R18" s="800"/>
      <c r="S18" s="800"/>
      <c r="T18" s="800"/>
    </row>
    <row r="19" spans="1:20" s="788" customFormat="1" ht="15.75" customHeight="1" thickBot="1">
      <c r="A19" s="792" t="s">
        <v>15</v>
      </c>
      <c r="B19" s="793" t="s">
        <v>1199</v>
      </c>
      <c r="C19" s="794">
        <f t="shared" si="0"/>
        <v>169481</v>
      </c>
      <c r="D19" s="794">
        <f t="shared" si="0"/>
        <v>188001.85935999997</v>
      </c>
      <c r="E19" s="794">
        <f t="shared" si="0"/>
        <v>158478</v>
      </c>
      <c r="F19" s="1294">
        <f t="shared" ref="F19" si="10">F45+F69</f>
        <v>162029.5</v>
      </c>
      <c r="G19" s="917"/>
      <c r="H19" s="917"/>
      <c r="I19" s="934"/>
      <c r="J19" s="800"/>
      <c r="K19" s="800"/>
      <c r="L19" s="800"/>
      <c r="M19" s="800"/>
      <c r="N19" s="800"/>
      <c r="O19" s="800"/>
      <c r="P19" s="800"/>
      <c r="Q19" s="800"/>
      <c r="R19" s="800"/>
      <c r="S19" s="800"/>
      <c r="T19" s="800"/>
    </row>
    <row r="20" spans="1:20" s="788" customFormat="1" ht="15.75" customHeight="1" thickBot="1">
      <c r="A20" s="792" t="s">
        <v>16</v>
      </c>
      <c r="B20" s="793" t="s">
        <v>17</v>
      </c>
      <c r="C20" s="794">
        <f t="shared" si="0"/>
        <v>17327</v>
      </c>
      <c r="D20" s="794">
        <f t="shared" si="0"/>
        <v>20274.620999999999</v>
      </c>
      <c r="E20" s="794">
        <f t="shared" si="0"/>
        <v>17264</v>
      </c>
      <c r="F20" s="1294">
        <f t="shared" ref="F20" si="11">F46+F70</f>
        <v>17933.66</v>
      </c>
      <c r="G20" s="917"/>
      <c r="H20" s="917"/>
      <c r="I20" s="934"/>
      <c r="J20" s="800"/>
      <c r="K20" s="800"/>
      <c r="L20" s="800"/>
      <c r="M20" s="800"/>
      <c r="N20" s="800"/>
      <c r="O20" s="800"/>
      <c r="P20" s="800"/>
      <c r="Q20" s="800"/>
      <c r="R20" s="800"/>
      <c r="S20" s="800"/>
      <c r="T20" s="800"/>
    </row>
    <row r="21" spans="1:20" s="788" customFormat="1" ht="15.75" customHeight="1" thickBot="1">
      <c r="A21" s="792" t="s">
        <v>18</v>
      </c>
      <c r="B21" s="793" t="s">
        <v>1170</v>
      </c>
      <c r="C21" s="794">
        <f t="shared" si="0"/>
        <v>2992</v>
      </c>
      <c r="D21" s="794">
        <f t="shared" si="0"/>
        <v>3181.9939999999997</v>
      </c>
      <c r="E21" s="794">
        <f t="shared" si="0"/>
        <v>2677</v>
      </c>
      <c r="F21" s="1294">
        <f t="shared" ref="F21" si="12">F47+F71</f>
        <v>2710</v>
      </c>
      <c r="G21" s="917"/>
      <c r="H21" s="917"/>
      <c r="I21" s="934"/>
      <c r="J21" s="800"/>
      <c r="K21" s="800"/>
      <c r="L21" s="800"/>
      <c r="M21" s="800"/>
      <c r="N21" s="800"/>
      <c r="O21" s="800"/>
      <c r="P21" s="800"/>
      <c r="Q21" s="800"/>
      <c r="R21" s="800"/>
      <c r="S21" s="800"/>
      <c r="T21" s="800"/>
    </row>
    <row r="22" spans="1:20" s="788" customFormat="1" ht="15.75" customHeight="1" thickBot="1">
      <c r="A22" s="792" t="s">
        <v>19</v>
      </c>
      <c r="B22" s="793" t="s">
        <v>20</v>
      </c>
      <c r="C22" s="794">
        <f t="shared" si="0"/>
        <v>118416</v>
      </c>
      <c r="D22" s="794">
        <f t="shared" si="0"/>
        <v>228363.57416999995</v>
      </c>
      <c r="E22" s="794">
        <f t="shared" si="0"/>
        <v>236450.75</v>
      </c>
      <c r="F22" s="1294">
        <f t="shared" ref="F22" si="13">F48+F72</f>
        <v>321812.75</v>
      </c>
      <c r="G22" s="917"/>
      <c r="H22" s="917"/>
      <c r="I22" s="934"/>
      <c r="J22" s="800"/>
      <c r="K22" s="800"/>
      <c r="L22" s="800"/>
      <c r="M22" s="800"/>
      <c r="N22" s="800"/>
      <c r="O22" s="800"/>
      <c r="P22" s="800"/>
      <c r="Q22" s="800"/>
      <c r="R22" s="800"/>
      <c r="S22" s="800"/>
      <c r="T22" s="800"/>
    </row>
    <row r="23" spans="1:20" s="788" customFormat="1" ht="15.75" customHeight="1" thickBot="1">
      <c r="A23" s="792" t="s">
        <v>21</v>
      </c>
      <c r="B23" s="793" t="s">
        <v>1200</v>
      </c>
      <c r="C23" s="794">
        <f t="shared" si="0"/>
        <v>3303</v>
      </c>
      <c r="D23" s="794">
        <f t="shared" si="0"/>
        <v>3321.8385800000001</v>
      </c>
      <c r="E23" s="794">
        <f t="shared" si="0"/>
        <v>3953</v>
      </c>
      <c r="F23" s="1294">
        <f t="shared" ref="F23" si="14">F49+F73</f>
        <v>3953</v>
      </c>
      <c r="G23" s="935"/>
      <c r="H23" s="927"/>
      <c r="I23" s="934"/>
      <c r="J23" s="800"/>
      <c r="K23" s="800"/>
      <c r="L23" s="800"/>
      <c r="M23" s="800"/>
      <c r="N23" s="800"/>
      <c r="O23" s="800"/>
      <c r="P23" s="800"/>
      <c r="Q23" s="800"/>
      <c r="R23" s="800"/>
      <c r="S23" s="800"/>
      <c r="T23" s="800"/>
    </row>
    <row r="24" spans="1:20" s="788" customFormat="1" ht="15.75" customHeight="1" thickBot="1">
      <c r="A24" s="792" t="s">
        <v>22</v>
      </c>
      <c r="B24" s="793" t="s">
        <v>23</v>
      </c>
      <c r="C24" s="794">
        <f t="shared" si="0"/>
        <v>165852</v>
      </c>
      <c r="D24" s="794">
        <f t="shared" si="0"/>
        <v>174148.38182000001</v>
      </c>
      <c r="E24" s="794">
        <f t="shared" si="0"/>
        <v>118984</v>
      </c>
      <c r="F24" s="1294">
        <f t="shared" ref="F24" si="15">F50+F74</f>
        <v>161444.64199999999</v>
      </c>
      <c r="G24" s="935"/>
      <c r="H24" s="927"/>
      <c r="I24" s="934"/>
      <c r="J24" s="800"/>
      <c r="K24" s="800"/>
      <c r="L24" s="800"/>
      <c r="M24" s="800"/>
      <c r="N24" s="800"/>
      <c r="O24" s="800"/>
      <c r="P24" s="800"/>
      <c r="Q24" s="800"/>
      <c r="R24" s="800"/>
      <c r="S24" s="800"/>
      <c r="T24" s="800"/>
    </row>
    <row r="25" spans="1:20" s="788" customFormat="1" ht="15.75" customHeight="1" thickBot="1">
      <c r="A25" s="792" t="s">
        <v>24</v>
      </c>
      <c r="B25" s="793" t="s">
        <v>25</v>
      </c>
      <c r="C25" s="794">
        <f t="shared" si="0"/>
        <v>42001</v>
      </c>
      <c r="D25" s="794">
        <f t="shared" si="0"/>
        <v>91805.476359999986</v>
      </c>
      <c r="E25" s="794">
        <f t="shared" si="0"/>
        <v>96522.510000000009</v>
      </c>
      <c r="F25" s="1294">
        <f t="shared" ref="F25" si="16">F51+F75</f>
        <v>96522.510000000009</v>
      </c>
      <c r="G25" s="935"/>
      <c r="H25" s="927"/>
      <c r="I25" s="934"/>
      <c r="J25" s="800"/>
      <c r="K25" s="800"/>
      <c r="L25" s="800"/>
      <c r="M25" s="800"/>
      <c r="N25" s="800"/>
      <c r="O25" s="800"/>
      <c r="P25" s="800"/>
      <c r="Q25" s="800"/>
      <c r="R25" s="800"/>
      <c r="S25" s="800"/>
      <c r="T25" s="800"/>
    </row>
    <row r="26" spans="1:20" s="788" customFormat="1" ht="15.75" customHeight="1" thickBot="1">
      <c r="A26" s="792" t="s">
        <v>26</v>
      </c>
      <c r="B26" s="793" t="s">
        <v>27</v>
      </c>
      <c r="C26" s="794">
        <f t="shared" si="0"/>
        <v>23796.260000000002</v>
      </c>
      <c r="D26" s="794">
        <f t="shared" si="0"/>
        <v>24827.087499999998</v>
      </c>
      <c r="E26" s="794">
        <f t="shared" si="0"/>
        <v>22117</v>
      </c>
      <c r="F26" s="1294">
        <f t="shared" ref="F26" si="17">F52+F76</f>
        <v>22117</v>
      </c>
      <c r="G26" s="935"/>
      <c r="H26" s="927"/>
      <c r="I26" s="934"/>
      <c r="J26" s="800"/>
      <c r="K26" s="800"/>
      <c r="L26" s="800"/>
      <c r="M26" s="800"/>
      <c r="N26" s="800"/>
      <c r="O26" s="800"/>
      <c r="P26" s="800"/>
      <c r="Q26" s="800"/>
      <c r="R26" s="800"/>
      <c r="S26" s="800"/>
      <c r="T26" s="800"/>
    </row>
    <row r="27" spans="1:20" s="788" customFormat="1" ht="15.75" customHeight="1" thickBot="1">
      <c r="A27" s="797" t="s">
        <v>28</v>
      </c>
      <c r="B27" s="798" t="s">
        <v>29</v>
      </c>
      <c r="C27" s="799">
        <f t="shared" si="0"/>
        <v>211485</v>
      </c>
      <c r="D27" s="799">
        <f t="shared" si="0"/>
        <v>229428.39575</v>
      </c>
      <c r="E27" s="799">
        <f t="shared" si="0"/>
        <v>167614</v>
      </c>
      <c r="F27" s="1295">
        <f t="shared" ref="F27" si="18">F53+F77</f>
        <v>195757.58299999998</v>
      </c>
      <c r="G27" s="935"/>
      <c r="H27" s="927"/>
      <c r="I27" s="934"/>
      <c r="J27" s="800"/>
      <c r="K27" s="800"/>
      <c r="L27" s="800"/>
      <c r="M27" s="800"/>
      <c r="N27" s="800"/>
      <c r="O27" s="800"/>
      <c r="P27" s="800"/>
      <c r="Q27" s="800"/>
      <c r="R27" s="800"/>
      <c r="S27" s="800"/>
      <c r="T27" s="800"/>
    </row>
    <row r="28" spans="1:20" s="788" customFormat="1" ht="6.75" customHeight="1" thickTop="1" thickBot="1">
      <c r="A28" s="786"/>
      <c r="B28" s="786"/>
      <c r="C28" s="787"/>
      <c r="D28" s="787"/>
      <c r="E28" s="787"/>
      <c r="F28" s="787"/>
      <c r="G28" s="936"/>
      <c r="H28" s="937"/>
      <c r="I28" s="934"/>
      <c r="J28" s="800"/>
      <c r="K28" s="800"/>
      <c r="L28" s="800"/>
      <c r="M28" s="800"/>
      <c r="N28" s="800"/>
      <c r="O28" s="800"/>
      <c r="P28" s="800"/>
      <c r="Q28" s="800"/>
      <c r="R28" s="800"/>
      <c r="S28" s="800"/>
      <c r="T28" s="800"/>
    </row>
    <row r="29" spans="1:20" s="788" customFormat="1" ht="18.75" customHeight="1" thickTop="1" thickBot="1">
      <c r="A29" s="1941" t="s">
        <v>1172</v>
      </c>
      <c r="B29" s="1942"/>
      <c r="C29" s="913">
        <f>SUM(C10:C27)</f>
        <v>1093832.26</v>
      </c>
      <c r="D29" s="913">
        <f>SUM(D10:D27)</f>
        <v>1345452.0399399998</v>
      </c>
      <c r="E29" s="913">
        <f>SUM(E10:E27)</f>
        <v>1150154.912</v>
      </c>
      <c r="F29" s="1714">
        <f>SUM(F10:F27)</f>
        <v>1342085.9960000003</v>
      </c>
      <c r="G29" s="1749">
        <f>F29-E29</f>
        <v>191931.08400000026</v>
      </c>
      <c r="H29" s="935"/>
      <c r="I29" s="934"/>
      <c r="J29" s="800"/>
      <c r="K29" s="800"/>
      <c r="L29" s="800"/>
      <c r="M29" s="800"/>
      <c r="N29" s="800"/>
      <c r="O29" s="800"/>
      <c r="P29" s="800"/>
      <c r="Q29" s="800"/>
      <c r="R29" s="800"/>
      <c r="S29" s="800"/>
      <c r="T29" s="800"/>
    </row>
    <row r="30" spans="1:20" s="788" customFormat="1" ht="15.75" customHeight="1" thickTop="1">
      <c r="A30" s="786"/>
      <c r="B30" s="786"/>
      <c r="C30" s="787"/>
      <c r="D30" s="787"/>
      <c r="E30" s="787"/>
      <c r="F30" s="787"/>
      <c r="G30" s="914"/>
      <c r="H30" s="914"/>
      <c r="I30" s="934"/>
      <c r="J30" s="800"/>
      <c r="K30" s="800"/>
      <c r="L30" s="800"/>
      <c r="M30" s="800"/>
      <c r="N30" s="800"/>
      <c r="O30" s="800"/>
      <c r="P30" s="800"/>
      <c r="Q30" s="800"/>
      <c r="R30" s="800"/>
      <c r="S30" s="800"/>
      <c r="T30" s="800"/>
    </row>
    <row r="31" spans="1:20" s="788" customFormat="1" ht="16.5" customHeight="1">
      <c r="A31" s="786"/>
      <c r="B31" s="786"/>
      <c r="C31" s="787"/>
      <c r="D31" s="787"/>
      <c r="E31" s="787"/>
      <c r="F31" s="787"/>
      <c r="G31" s="914"/>
      <c r="H31" s="914"/>
      <c r="I31" s="934"/>
      <c r="J31" s="800"/>
      <c r="K31" s="800"/>
      <c r="L31" s="800"/>
      <c r="M31" s="800"/>
      <c r="N31" s="800"/>
      <c r="O31" s="800"/>
      <c r="P31" s="800"/>
      <c r="Q31" s="800"/>
      <c r="R31" s="800"/>
      <c r="S31" s="800"/>
      <c r="T31" s="800"/>
    </row>
    <row r="32" spans="1:20" s="788" customFormat="1" ht="10.5" customHeight="1" thickBot="1">
      <c r="A32" s="786"/>
      <c r="B32" s="786"/>
      <c r="C32" s="791" t="s">
        <v>121</v>
      </c>
      <c r="D32" s="791"/>
      <c r="E32" s="791"/>
      <c r="F32" s="791"/>
      <c r="G32" s="914"/>
      <c r="H32" s="914"/>
      <c r="I32" s="934"/>
      <c r="J32" s="800"/>
      <c r="K32" s="800"/>
      <c r="L32" s="800"/>
      <c r="M32" s="800"/>
      <c r="N32" s="800"/>
      <c r="O32" s="800"/>
      <c r="P32" s="800"/>
      <c r="Q32" s="800"/>
      <c r="R32" s="800"/>
      <c r="S32" s="800"/>
      <c r="T32" s="800"/>
    </row>
    <row r="33" spans="1:20" s="788" customFormat="1" ht="9.75" customHeight="1" thickTop="1" thickBot="1">
      <c r="A33" s="1952" t="s">
        <v>1168</v>
      </c>
      <c r="B33" s="1953"/>
      <c r="C33" s="1927" t="s">
        <v>44</v>
      </c>
      <c r="D33" s="1927" t="s">
        <v>43</v>
      </c>
      <c r="E33" s="1927" t="s">
        <v>1487</v>
      </c>
      <c r="F33" s="1947" t="s">
        <v>1488</v>
      </c>
      <c r="G33" s="916"/>
      <c r="H33" s="933"/>
      <c r="I33" s="934"/>
      <c r="J33" s="800"/>
      <c r="K33" s="800"/>
      <c r="L33" s="800"/>
      <c r="M33" s="800"/>
      <c r="N33" s="800"/>
      <c r="O33" s="800"/>
      <c r="P33" s="800"/>
      <c r="Q33" s="800"/>
      <c r="R33" s="800"/>
      <c r="S33" s="800"/>
      <c r="T33" s="800"/>
    </row>
    <row r="34" spans="1:20" s="788" customFormat="1" ht="15.75" customHeight="1" thickBot="1">
      <c r="A34" s="1954"/>
      <c r="B34" s="1955"/>
      <c r="C34" s="1928"/>
      <c r="D34" s="1928"/>
      <c r="E34" s="1928"/>
      <c r="F34" s="1948"/>
      <c r="G34" s="916"/>
      <c r="H34" s="933"/>
      <c r="I34" s="934"/>
      <c r="J34" s="800"/>
      <c r="K34" s="800"/>
      <c r="L34" s="800"/>
      <c r="M34" s="800"/>
      <c r="N34" s="800"/>
      <c r="O34" s="800"/>
      <c r="P34" s="800"/>
      <c r="Q34" s="800"/>
      <c r="R34" s="800"/>
      <c r="S34" s="800"/>
      <c r="T34" s="800"/>
    </row>
    <row r="35" spans="1:20" s="788" customFormat="1" ht="13.5" customHeight="1" thickBot="1">
      <c r="A35" s="1956"/>
      <c r="B35" s="1957"/>
      <c r="C35" s="1929"/>
      <c r="D35" s="1929"/>
      <c r="E35" s="1929"/>
      <c r="F35" s="1949"/>
      <c r="G35" s="916"/>
      <c r="H35" s="1020"/>
      <c r="I35" s="934"/>
      <c r="J35" s="800"/>
      <c r="K35" s="800"/>
      <c r="L35" s="800"/>
      <c r="M35" s="800"/>
      <c r="N35" s="800"/>
      <c r="O35" s="800"/>
      <c r="P35" s="800"/>
      <c r="Q35" s="800"/>
      <c r="R35" s="800"/>
      <c r="S35" s="800"/>
      <c r="T35" s="800"/>
    </row>
    <row r="36" spans="1:20" s="788" customFormat="1" ht="15" customHeight="1" thickTop="1" thickBot="1">
      <c r="A36" s="806" t="s">
        <v>0</v>
      </c>
      <c r="B36" s="807" t="s">
        <v>1</v>
      </c>
      <c r="C36" s="808">
        <f>OKT!I79</f>
        <v>131130</v>
      </c>
      <c r="D36" s="808">
        <f>OKT!J79</f>
        <v>138596.177</v>
      </c>
      <c r="E36" s="808">
        <f>OKT!K79</f>
        <v>139987</v>
      </c>
      <c r="F36" s="1293">
        <f>OKT!L79</f>
        <v>139987</v>
      </c>
      <c r="G36" s="938"/>
      <c r="H36" s="927"/>
      <c r="I36" s="934"/>
      <c r="J36" s="800"/>
      <c r="K36" s="800"/>
      <c r="L36" s="800"/>
      <c r="M36" s="800"/>
      <c r="N36" s="800"/>
      <c r="O36" s="800"/>
      <c r="P36" s="800"/>
      <c r="Q36" s="800"/>
      <c r="R36" s="800"/>
      <c r="S36" s="800"/>
      <c r="T36" s="800"/>
    </row>
    <row r="37" spans="1:20" s="788" customFormat="1" ht="15" customHeight="1" thickBot="1">
      <c r="A37" s="792" t="s">
        <v>2</v>
      </c>
      <c r="B37" s="793" t="s">
        <v>3</v>
      </c>
      <c r="C37" s="794">
        <f>OŽP!F19</f>
        <v>555</v>
      </c>
      <c r="D37" s="794">
        <f>OŽP!G19</f>
        <v>1014.779</v>
      </c>
      <c r="E37" s="794">
        <f>OŽP!H19</f>
        <v>320</v>
      </c>
      <c r="F37" s="1294">
        <f>OŽP!I19</f>
        <v>320</v>
      </c>
      <c r="G37" s="938"/>
      <c r="H37" s="927"/>
      <c r="I37" s="934"/>
      <c r="J37" s="800"/>
      <c r="K37" s="800"/>
      <c r="L37" s="800"/>
      <c r="M37" s="800"/>
      <c r="N37" s="800"/>
      <c r="O37" s="800"/>
      <c r="P37" s="800"/>
      <c r="Q37" s="800"/>
      <c r="R37" s="800"/>
      <c r="S37" s="800"/>
      <c r="T37" s="800"/>
    </row>
    <row r="38" spans="1:20" s="800" customFormat="1" ht="15" customHeight="1" thickBot="1">
      <c r="A38" s="792" t="s">
        <v>4</v>
      </c>
      <c r="B38" s="793" t="s">
        <v>5</v>
      </c>
      <c r="C38" s="794">
        <f>OD!F17</f>
        <v>70396</v>
      </c>
      <c r="D38" s="794">
        <f>OD!G17</f>
        <v>70647.861999999994</v>
      </c>
      <c r="E38" s="794">
        <f>OD!H17</f>
        <v>70399</v>
      </c>
      <c r="F38" s="1294">
        <f>OD!I17</f>
        <v>70399</v>
      </c>
      <c r="G38" s="938"/>
      <c r="H38" s="927"/>
      <c r="I38" s="934"/>
    </row>
    <row r="39" spans="1:20" s="800" customFormat="1" ht="15" customHeight="1" thickBot="1">
      <c r="A39" s="792" t="s">
        <v>6</v>
      </c>
      <c r="B39" s="793" t="s">
        <v>7</v>
      </c>
      <c r="C39" s="794">
        <f>OPP!F10</f>
        <v>26</v>
      </c>
      <c r="D39" s="794">
        <f>OPP!G10</f>
        <v>26</v>
      </c>
      <c r="E39" s="794">
        <f>OPP!H10</f>
        <v>23</v>
      </c>
      <c r="F39" s="1294">
        <f>OPP!I10</f>
        <v>23</v>
      </c>
      <c r="G39" s="938"/>
      <c r="H39" s="927"/>
      <c r="I39" s="934"/>
    </row>
    <row r="40" spans="1:20" s="800" customFormat="1" ht="15" customHeight="1" thickBot="1">
      <c r="A40" s="795">
        <v>13</v>
      </c>
      <c r="B40" s="796" t="s">
        <v>8</v>
      </c>
      <c r="C40" s="794">
        <f>PRÁV!F20</f>
        <v>13953</v>
      </c>
      <c r="D40" s="794">
        <f>PRÁV!G20</f>
        <v>35803</v>
      </c>
      <c r="E40" s="794">
        <f>PRÁV!H20</f>
        <v>16071</v>
      </c>
      <c r="F40" s="1294">
        <f>PRÁV!I20</f>
        <v>41624</v>
      </c>
      <c r="G40" s="938"/>
      <c r="H40" s="927"/>
      <c r="I40" s="934"/>
    </row>
    <row r="41" spans="1:20" s="800" customFormat="1" ht="15" customHeight="1" thickBot="1">
      <c r="A41" s="795">
        <v>17</v>
      </c>
      <c r="B41" s="796" t="s">
        <v>1169</v>
      </c>
      <c r="C41" s="794">
        <f>ObŽÚ!F16</f>
        <v>0</v>
      </c>
      <c r="D41" s="794">
        <f>ObŽÚ!G16</f>
        <v>60</v>
      </c>
      <c r="E41" s="794">
        <f>ObŽÚ!H16</f>
        <v>0</v>
      </c>
      <c r="F41" s="1294">
        <f>ObŽÚ!I16</f>
        <v>0</v>
      </c>
      <c r="G41" s="938"/>
      <c r="H41" s="927"/>
      <c r="I41" s="934"/>
    </row>
    <row r="42" spans="1:20" s="800" customFormat="1" ht="15" customHeight="1" thickBot="1">
      <c r="A42" s="792" t="s">
        <v>9</v>
      </c>
      <c r="B42" s="793" t="s">
        <v>10</v>
      </c>
      <c r="C42" s="794">
        <f>OVV!F59</f>
        <v>21878</v>
      </c>
      <c r="D42" s="794">
        <f>OVV!G59</f>
        <v>23475.669190000001</v>
      </c>
      <c r="E42" s="794">
        <f>OVV!H59</f>
        <v>21371</v>
      </c>
      <c r="F42" s="1294">
        <f>OVV!I59</f>
        <v>22231</v>
      </c>
      <c r="G42" s="938"/>
      <c r="H42" s="927"/>
      <c r="I42" s="934"/>
    </row>
    <row r="43" spans="1:20" s="800" customFormat="1" ht="15" customHeight="1" thickBot="1">
      <c r="A43" s="792" t="s">
        <v>11</v>
      </c>
      <c r="B43" s="793" t="s">
        <v>12</v>
      </c>
      <c r="C43" s="794">
        <f>MP!F62</f>
        <v>41246</v>
      </c>
      <c r="D43" s="794">
        <f>MP!G62</f>
        <v>43097</v>
      </c>
      <c r="E43" s="794">
        <f>MP!H62</f>
        <v>43590</v>
      </c>
      <c r="F43" s="1294">
        <f>MP!I62</f>
        <v>43590</v>
      </c>
      <c r="G43" s="938"/>
      <c r="H43" s="927"/>
      <c r="I43" s="934"/>
    </row>
    <row r="44" spans="1:20" s="800" customFormat="1" ht="15" customHeight="1" thickBot="1">
      <c r="A44" s="792" t="s">
        <v>13</v>
      </c>
      <c r="B44" s="793" t="s">
        <v>14</v>
      </c>
      <c r="C44" s="794">
        <f>OIT!F30</f>
        <v>22458</v>
      </c>
      <c r="D44" s="794">
        <f>OIT!G30</f>
        <v>25345.209209999997</v>
      </c>
      <c r="E44" s="794">
        <f>OIT!H30</f>
        <v>20883.652000000002</v>
      </c>
      <c r="F44" s="1294">
        <f>OIT!I30</f>
        <v>20985.292000000001</v>
      </c>
      <c r="G44" s="938"/>
      <c r="H44" s="927"/>
      <c r="I44" s="934"/>
    </row>
    <row r="45" spans="1:20" s="800" customFormat="1" ht="15" customHeight="1" thickBot="1">
      <c r="A45" s="792" t="s">
        <v>15</v>
      </c>
      <c r="B45" s="793" t="s">
        <v>1199</v>
      </c>
      <c r="C45" s="794">
        <f>OKŠT!F163</f>
        <v>169481</v>
      </c>
      <c r="D45" s="794">
        <f>OKŠT!G163</f>
        <v>187000.26735999997</v>
      </c>
      <c r="E45" s="794">
        <f>OKŠT!H163</f>
        <v>154178</v>
      </c>
      <c r="F45" s="1294">
        <f>OKŠT!I163</f>
        <v>157729.5</v>
      </c>
      <c r="G45" s="938"/>
      <c r="H45" s="927"/>
      <c r="I45" s="934"/>
    </row>
    <row r="46" spans="1:20" s="800" customFormat="1" ht="15" customHeight="1" thickBot="1">
      <c r="A46" s="792" t="s">
        <v>16</v>
      </c>
      <c r="B46" s="793" t="s">
        <v>17</v>
      </c>
      <c r="C46" s="794">
        <f>'OSV '!F63</f>
        <v>17327</v>
      </c>
      <c r="D46" s="794">
        <f>'OSV '!G63</f>
        <v>20274.620999999999</v>
      </c>
      <c r="E46" s="794">
        <f>'OSV '!H63</f>
        <v>17264</v>
      </c>
      <c r="F46" s="1294">
        <f>'OSV '!I63</f>
        <v>17933.66</v>
      </c>
      <c r="G46" s="938"/>
      <c r="H46" s="927"/>
      <c r="I46" s="934"/>
    </row>
    <row r="47" spans="1:20" s="800" customFormat="1" ht="15" customHeight="1" thickBot="1">
      <c r="A47" s="792" t="s">
        <v>18</v>
      </c>
      <c r="B47" s="793" t="s">
        <v>1170</v>
      </c>
      <c r="C47" s="794">
        <f>OSD!E43</f>
        <v>2992</v>
      </c>
      <c r="D47" s="794">
        <f>OSD!F43</f>
        <v>3181.9939999999997</v>
      </c>
      <c r="E47" s="794">
        <f>OSD!G43</f>
        <v>2677</v>
      </c>
      <c r="F47" s="1294">
        <f>OSD!H43</f>
        <v>2710</v>
      </c>
      <c r="G47" s="938"/>
      <c r="H47" s="927"/>
      <c r="I47" s="934"/>
    </row>
    <row r="48" spans="1:20" s="800" customFormat="1" ht="15" customHeight="1" thickBot="1">
      <c r="A48" s="792" t="s">
        <v>19</v>
      </c>
      <c r="B48" s="793" t="s">
        <v>20</v>
      </c>
      <c r="C48" s="794">
        <f>'ORI '!F27</f>
        <v>1918</v>
      </c>
      <c r="D48" s="794">
        <f>'ORI '!G27</f>
        <v>9004.0609999999997</v>
      </c>
      <c r="E48" s="794">
        <f>'ORI '!H27</f>
        <v>1726</v>
      </c>
      <c r="F48" s="1294">
        <f>'ORI '!I27</f>
        <v>2194</v>
      </c>
      <c r="G48" s="938"/>
      <c r="H48" s="927"/>
      <c r="I48" s="934"/>
    </row>
    <row r="49" spans="1:20" s="800" customFormat="1" ht="15" customHeight="1" thickBot="1">
      <c r="A49" s="792" t="s">
        <v>21</v>
      </c>
      <c r="B49" s="793" t="s">
        <v>1171</v>
      </c>
      <c r="C49" s="794">
        <f>ÚÚPaSÚ!F20</f>
        <v>3303</v>
      </c>
      <c r="D49" s="794">
        <f>ÚÚPaSÚ!G20</f>
        <v>3301.3185800000001</v>
      </c>
      <c r="E49" s="794">
        <f>ÚÚPaSÚ!H20</f>
        <v>3603</v>
      </c>
      <c r="F49" s="1294">
        <f>ÚÚPaSÚ!I20</f>
        <v>3603</v>
      </c>
      <c r="G49" s="938"/>
      <c r="H49" s="927"/>
      <c r="I49" s="934"/>
    </row>
    <row r="50" spans="1:20" s="800" customFormat="1" ht="15" customHeight="1" thickBot="1">
      <c r="A50" s="792" t="s">
        <v>22</v>
      </c>
      <c r="B50" s="793" t="s">
        <v>23</v>
      </c>
      <c r="C50" s="794">
        <f>OMM!F134</f>
        <v>63752</v>
      </c>
      <c r="D50" s="794">
        <f>OMM!G134</f>
        <v>79065.034119999997</v>
      </c>
      <c r="E50" s="794">
        <f>OMM!H134</f>
        <v>71934</v>
      </c>
      <c r="F50" s="1294">
        <f>OMM!I134</f>
        <v>90711</v>
      </c>
      <c r="G50" s="938"/>
      <c r="H50" s="927"/>
      <c r="I50" s="934"/>
    </row>
    <row r="51" spans="1:20" s="800" customFormat="1" ht="15" customHeight="1" thickBot="1">
      <c r="A51" s="792" t="s">
        <v>24</v>
      </c>
      <c r="B51" s="793" t="s">
        <v>25</v>
      </c>
      <c r="C51" s="794">
        <f>'OFE '!F37</f>
        <v>33001</v>
      </c>
      <c r="D51" s="794">
        <f>'OFE '!G37</f>
        <v>79629.095659999992</v>
      </c>
      <c r="E51" s="794">
        <f>'OFE '!H37</f>
        <v>79562</v>
      </c>
      <c r="F51" s="1294">
        <f>'OFE '!I37</f>
        <v>79562</v>
      </c>
      <c r="G51" s="938"/>
      <c r="H51" s="927"/>
      <c r="I51" s="934"/>
    </row>
    <row r="52" spans="1:20" s="800" customFormat="1" ht="15" customHeight="1" thickBot="1">
      <c r="A52" s="792" t="s">
        <v>26</v>
      </c>
      <c r="B52" s="793" t="s">
        <v>27</v>
      </c>
      <c r="C52" s="794">
        <f>OKP!F46</f>
        <v>23796.260000000002</v>
      </c>
      <c r="D52" s="794">
        <f>OKP!G46</f>
        <v>24827.087499999998</v>
      </c>
      <c r="E52" s="794">
        <f>OKP!H46</f>
        <v>22017</v>
      </c>
      <c r="F52" s="1294">
        <f>OKP!I46</f>
        <v>22017</v>
      </c>
      <c r="G52" s="938"/>
      <c r="H52" s="927"/>
      <c r="I52" s="934"/>
    </row>
    <row r="53" spans="1:20" s="800" customFormat="1" ht="15" customHeight="1" thickBot="1">
      <c r="A53" s="797" t="s">
        <v>28</v>
      </c>
      <c r="B53" s="798" t="s">
        <v>29</v>
      </c>
      <c r="C53" s="799">
        <f>OT!F47</f>
        <v>164514</v>
      </c>
      <c r="D53" s="799">
        <f>OT!G47</f>
        <v>172008.81101</v>
      </c>
      <c r="E53" s="799">
        <f>OT!H47</f>
        <v>154869</v>
      </c>
      <c r="F53" s="1295">
        <f>OT!I47</f>
        <v>155172</v>
      </c>
      <c r="G53" s="927"/>
      <c r="H53" s="927"/>
      <c r="I53" s="934"/>
    </row>
    <row r="54" spans="1:20" s="800" customFormat="1" ht="6" customHeight="1" thickTop="1" thickBot="1">
      <c r="A54" s="786"/>
      <c r="B54" s="786"/>
      <c r="C54" s="787"/>
      <c r="D54" s="787"/>
      <c r="E54" s="787"/>
      <c r="F54" s="787"/>
      <c r="G54" s="918"/>
      <c r="H54" s="927"/>
      <c r="I54" s="934"/>
    </row>
    <row r="55" spans="1:20" s="788" customFormat="1" ht="18.75" customHeight="1" thickTop="1" thickBot="1">
      <c r="A55" s="1941" t="s">
        <v>30</v>
      </c>
      <c r="B55" s="1942"/>
      <c r="C55" s="913">
        <f>SUM(C36:C53)</f>
        <v>781726.26</v>
      </c>
      <c r="D55" s="913">
        <f>SUM(D36:D53)</f>
        <v>916357.98662999994</v>
      </c>
      <c r="E55" s="913">
        <f>SUM(E36:E53)</f>
        <v>820474.652</v>
      </c>
      <c r="F55" s="1296">
        <f>SUM(F36:F53)</f>
        <v>870791.45200000005</v>
      </c>
      <c r="G55" s="917"/>
      <c r="H55" s="1021"/>
      <c r="I55" s="934"/>
      <c r="J55" s="800"/>
      <c r="K55" s="800"/>
      <c r="L55" s="800"/>
      <c r="M55" s="800"/>
      <c r="N55" s="800"/>
      <c r="O55" s="800"/>
      <c r="P55" s="800"/>
      <c r="Q55" s="800"/>
      <c r="R55" s="800"/>
      <c r="S55" s="800"/>
      <c r="T55" s="800"/>
    </row>
    <row r="56" spans="1:20" s="788" customFormat="1" ht="9.75" customHeight="1" thickTop="1">
      <c r="C56" s="801"/>
      <c r="D56" s="801"/>
      <c r="E56" s="801"/>
      <c r="F56" s="801"/>
      <c r="G56" s="914"/>
      <c r="H56" s="914"/>
      <c r="I56" s="934"/>
      <c r="J56" s="800"/>
      <c r="K56" s="800"/>
      <c r="L56" s="800"/>
      <c r="M56" s="800"/>
      <c r="N56" s="800"/>
      <c r="O56" s="800"/>
      <c r="P56" s="800"/>
      <c r="Q56" s="800"/>
      <c r="R56" s="800"/>
      <c r="S56" s="800"/>
      <c r="T56" s="800"/>
    </row>
    <row r="57" spans="1:20" s="788" customFormat="1" ht="25.35" customHeight="1" thickBot="1">
      <c r="A57" s="786"/>
      <c r="B57" s="786"/>
      <c r="C57" s="801"/>
      <c r="D57" s="801"/>
      <c r="E57" s="801"/>
      <c r="F57" s="801"/>
      <c r="G57" s="914"/>
      <c r="H57" s="914"/>
      <c r="I57" s="934"/>
      <c r="J57" s="800"/>
      <c r="K57" s="800"/>
      <c r="L57" s="800"/>
      <c r="M57" s="800"/>
      <c r="N57" s="800"/>
      <c r="O57" s="800"/>
      <c r="P57" s="800"/>
      <c r="Q57" s="800"/>
      <c r="R57" s="800"/>
      <c r="S57" s="800"/>
      <c r="T57" s="800"/>
    </row>
    <row r="58" spans="1:20" s="788" customFormat="1" ht="16.5" customHeight="1" thickTop="1" thickBot="1">
      <c r="A58" s="1943" t="s">
        <v>1168</v>
      </c>
      <c r="B58" s="1944"/>
      <c r="C58" s="1927" t="s">
        <v>44</v>
      </c>
      <c r="D58" s="1927" t="s">
        <v>43</v>
      </c>
      <c r="E58" s="1927" t="s">
        <v>1487</v>
      </c>
      <c r="F58" s="1947" t="s">
        <v>1488</v>
      </c>
      <c r="G58" s="1950" t="s">
        <v>1436</v>
      </c>
      <c r="H58" s="1951"/>
      <c r="I58" s="934"/>
      <c r="J58" s="800"/>
      <c r="K58" s="800"/>
      <c r="L58" s="800"/>
      <c r="M58" s="800"/>
      <c r="N58" s="800"/>
      <c r="O58" s="800"/>
      <c r="P58" s="800"/>
      <c r="Q58" s="800"/>
      <c r="R58" s="800"/>
      <c r="S58" s="800"/>
      <c r="T58" s="800"/>
    </row>
    <row r="59" spans="1:20" s="788" customFormat="1" ht="25.5" customHeight="1" thickBot="1">
      <c r="A59" s="1945"/>
      <c r="B59" s="1946"/>
      <c r="C59" s="1929"/>
      <c r="D59" s="1929"/>
      <c r="E59" s="1929"/>
      <c r="F59" s="1949"/>
      <c r="G59" s="1291" t="s">
        <v>1511</v>
      </c>
      <c r="H59" s="1292" t="s">
        <v>1512</v>
      </c>
      <c r="I59" s="934"/>
      <c r="J59" s="800"/>
      <c r="K59" s="800"/>
      <c r="L59" s="800"/>
      <c r="M59" s="800"/>
      <c r="N59" s="800"/>
      <c r="O59" s="800"/>
      <c r="P59" s="800"/>
      <c r="Q59" s="800"/>
      <c r="R59" s="800"/>
      <c r="S59" s="800"/>
      <c r="T59" s="800"/>
    </row>
    <row r="60" spans="1:20" s="788" customFormat="1" ht="16.5" thickTop="1" thickBot="1">
      <c r="A60" s="806" t="s">
        <v>0</v>
      </c>
      <c r="B60" s="807" t="s">
        <v>1</v>
      </c>
      <c r="C60" s="809">
        <f>OKT!I107</f>
        <v>1400</v>
      </c>
      <c r="D60" s="809">
        <f>OKT!J107</f>
        <v>1250</v>
      </c>
      <c r="E60" s="809">
        <f>OKT!K107</f>
        <v>0</v>
      </c>
      <c r="F60" s="909">
        <f>OKT!L107</f>
        <v>0</v>
      </c>
      <c r="G60" s="919">
        <v>0</v>
      </c>
      <c r="H60" s="928">
        <v>0</v>
      </c>
      <c r="I60" s="934"/>
      <c r="J60" s="800"/>
      <c r="K60" s="800"/>
      <c r="L60" s="800"/>
      <c r="M60" s="800"/>
      <c r="N60" s="800"/>
      <c r="O60" s="800"/>
      <c r="P60" s="800"/>
      <c r="Q60" s="800"/>
      <c r="R60" s="800"/>
      <c r="S60" s="800"/>
      <c r="T60" s="800"/>
    </row>
    <row r="61" spans="1:20" s="788" customFormat="1" ht="15.75" thickBot="1">
      <c r="A61" s="792" t="s">
        <v>2</v>
      </c>
      <c r="B61" s="793" t="s">
        <v>3</v>
      </c>
      <c r="C61" s="802">
        <f>OŽP!F31</f>
        <v>2000</v>
      </c>
      <c r="D61" s="802">
        <f>OŽP!G31</f>
        <v>2000</v>
      </c>
      <c r="E61" s="802">
        <f>OŽP!H31</f>
        <v>0</v>
      </c>
      <c r="F61" s="910">
        <f>OŽP!I31</f>
        <v>0</v>
      </c>
      <c r="G61" s="920">
        <v>0</v>
      </c>
      <c r="H61" s="929">
        <v>0</v>
      </c>
      <c r="I61" s="934"/>
      <c r="J61" s="800"/>
      <c r="K61" s="800"/>
      <c r="L61" s="800"/>
      <c r="M61" s="800"/>
      <c r="N61" s="800"/>
      <c r="O61" s="800"/>
      <c r="P61" s="800"/>
      <c r="Q61" s="800"/>
      <c r="R61" s="800"/>
      <c r="S61" s="800"/>
      <c r="T61" s="800"/>
    </row>
    <row r="62" spans="1:20" s="788" customFormat="1" ht="15.75" thickBot="1">
      <c r="A62" s="792" t="s">
        <v>4</v>
      </c>
      <c r="B62" s="793" t="s">
        <v>5</v>
      </c>
      <c r="C62" s="802">
        <v>0</v>
      </c>
      <c r="D62" s="802">
        <v>0</v>
      </c>
      <c r="E62" s="802">
        <v>0</v>
      </c>
      <c r="F62" s="910">
        <v>0</v>
      </c>
      <c r="G62" s="920">
        <v>0</v>
      </c>
      <c r="H62" s="929">
        <v>0</v>
      </c>
      <c r="I62" s="934"/>
      <c r="J62" s="800"/>
      <c r="K62" s="800"/>
      <c r="L62" s="800"/>
      <c r="M62" s="800"/>
      <c r="N62" s="800"/>
      <c r="O62" s="800"/>
      <c r="P62" s="800"/>
      <c r="Q62" s="800"/>
      <c r="R62" s="800"/>
      <c r="S62" s="800"/>
      <c r="T62" s="800"/>
    </row>
    <row r="63" spans="1:20" s="788" customFormat="1" ht="15.75" thickBot="1">
      <c r="A63" s="792" t="s">
        <v>6</v>
      </c>
      <c r="B63" s="793" t="s">
        <v>7</v>
      </c>
      <c r="C63" s="802">
        <v>0</v>
      </c>
      <c r="D63" s="802">
        <v>0</v>
      </c>
      <c r="E63" s="802">
        <v>0</v>
      </c>
      <c r="F63" s="910">
        <v>0</v>
      </c>
      <c r="G63" s="920">
        <v>0</v>
      </c>
      <c r="H63" s="929">
        <v>0</v>
      </c>
      <c r="I63" s="934"/>
      <c r="J63" s="800"/>
      <c r="K63" s="800"/>
      <c r="L63" s="800"/>
      <c r="M63" s="800"/>
      <c r="N63" s="800"/>
      <c r="O63" s="800"/>
      <c r="P63" s="800"/>
      <c r="Q63" s="800"/>
      <c r="R63" s="800"/>
      <c r="S63" s="800"/>
      <c r="T63" s="800"/>
    </row>
    <row r="64" spans="1:20" s="788" customFormat="1" ht="15.75" thickBot="1">
      <c r="A64" s="795">
        <v>13</v>
      </c>
      <c r="B64" s="796" t="s">
        <v>8</v>
      </c>
      <c r="C64" s="802">
        <v>0</v>
      </c>
      <c r="D64" s="802">
        <v>0</v>
      </c>
      <c r="E64" s="802">
        <v>0</v>
      </c>
      <c r="F64" s="910">
        <v>0</v>
      </c>
      <c r="G64" s="920">
        <v>0</v>
      </c>
      <c r="H64" s="929">
        <v>0</v>
      </c>
      <c r="I64" s="934"/>
      <c r="J64" s="800"/>
      <c r="K64" s="800"/>
      <c r="L64" s="800"/>
      <c r="M64" s="800"/>
      <c r="N64" s="800"/>
      <c r="O64" s="800"/>
      <c r="P64" s="800"/>
      <c r="Q64" s="800"/>
      <c r="R64" s="800"/>
      <c r="S64" s="800"/>
      <c r="T64" s="800"/>
    </row>
    <row r="65" spans="1:20" s="788" customFormat="1" ht="15.75" thickBot="1">
      <c r="A65" s="795">
        <v>17</v>
      </c>
      <c r="B65" s="796" t="s">
        <v>1169</v>
      </c>
      <c r="C65" s="802">
        <v>0</v>
      </c>
      <c r="D65" s="802">
        <v>0</v>
      </c>
      <c r="E65" s="802">
        <v>0</v>
      </c>
      <c r="F65" s="910">
        <v>0</v>
      </c>
      <c r="G65" s="920">
        <v>0</v>
      </c>
      <c r="H65" s="929">
        <v>0</v>
      </c>
      <c r="I65" s="934"/>
      <c r="J65" s="800"/>
      <c r="K65" s="800"/>
      <c r="L65" s="800"/>
      <c r="M65" s="800"/>
      <c r="N65" s="800"/>
      <c r="O65" s="800"/>
      <c r="P65" s="800"/>
      <c r="Q65" s="800"/>
      <c r="R65" s="800"/>
      <c r="S65" s="800"/>
      <c r="T65" s="800"/>
    </row>
    <row r="66" spans="1:20" s="788" customFormat="1" ht="15.75" thickBot="1">
      <c r="A66" s="792" t="s">
        <v>9</v>
      </c>
      <c r="B66" s="793" t="s">
        <v>10</v>
      </c>
      <c r="C66" s="802">
        <f>OVV!F85</f>
        <v>420</v>
      </c>
      <c r="D66" s="802">
        <f>OVV!G85</f>
        <v>420</v>
      </c>
      <c r="E66" s="802">
        <f>OVV!H85</f>
        <v>850</v>
      </c>
      <c r="F66" s="910">
        <f>OVV!I85</f>
        <v>850</v>
      </c>
      <c r="G66" s="920">
        <v>0</v>
      </c>
      <c r="H66" s="929">
        <f>SUM(OVV!H85)</f>
        <v>850</v>
      </c>
      <c r="I66" s="934"/>
      <c r="J66" s="800"/>
      <c r="K66" s="800"/>
      <c r="L66" s="800"/>
      <c r="M66" s="800"/>
      <c r="N66" s="800"/>
      <c r="O66" s="800"/>
      <c r="P66" s="800"/>
      <c r="Q66" s="800"/>
      <c r="R66" s="800"/>
      <c r="S66" s="800"/>
      <c r="T66" s="800"/>
    </row>
    <row r="67" spans="1:20" s="788" customFormat="1" ht="15.75" thickBot="1">
      <c r="A67" s="792" t="s">
        <v>11</v>
      </c>
      <c r="B67" s="793" t="s">
        <v>12</v>
      </c>
      <c r="C67" s="802">
        <f>MP!F89</f>
        <v>200</v>
      </c>
      <c r="D67" s="802">
        <f>MP!G89</f>
        <v>200</v>
      </c>
      <c r="E67" s="802">
        <f>MP!H89</f>
        <v>750</v>
      </c>
      <c r="F67" s="910">
        <f>MP!I89</f>
        <v>750</v>
      </c>
      <c r="G67" s="920">
        <v>0</v>
      </c>
      <c r="H67" s="929">
        <f>SUM(MP!H89)</f>
        <v>750</v>
      </c>
      <c r="I67" s="934"/>
      <c r="J67" s="800"/>
      <c r="K67" s="800"/>
      <c r="L67" s="800"/>
      <c r="M67" s="800"/>
      <c r="N67" s="800"/>
      <c r="O67" s="800"/>
      <c r="P67" s="800"/>
      <c r="Q67" s="800"/>
      <c r="R67" s="800"/>
      <c r="S67" s="800"/>
      <c r="T67" s="800"/>
    </row>
    <row r="68" spans="1:20" s="788" customFormat="1" ht="15.75" thickBot="1">
      <c r="A68" s="792" t="s">
        <v>13</v>
      </c>
      <c r="B68" s="793" t="s">
        <v>14</v>
      </c>
      <c r="C68" s="802">
        <f>OIT!F54</f>
        <v>33517</v>
      </c>
      <c r="D68" s="802">
        <f>OIT!G54</f>
        <v>40163.114999999998</v>
      </c>
      <c r="E68" s="802">
        <f>OIT!H54</f>
        <v>11850</v>
      </c>
      <c r="F68" s="910">
        <f>OIT!I54</f>
        <v>17046.059000000001</v>
      </c>
      <c r="G68" s="920">
        <f>OIT!H43</f>
        <v>10000</v>
      </c>
      <c r="H68" s="929">
        <f>OIT!H54-OIT!H43</f>
        <v>1850</v>
      </c>
      <c r="I68" s="800"/>
      <c r="J68" s="800"/>
      <c r="K68" s="800"/>
      <c r="L68" s="800"/>
      <c r="M68" s="800"/>
      <c r="N68" s="800"/>
      <c r="O68" s="800"/>
      <c r="P68" s="800"/>
      <c r="Q68" s="800"/>
      <c r="R68" s="800"/>
      <c r="S68" s="800"/>
      <c r="T68" s="800"/>
    </row>
    <row r="69" spans="1:20" s="788" customFormat="1" ht="15.75" thickBot="1">
      <c r="A69" s="792" t="s">
        <v>15</v>
      </c>
      <c r="B69" s="793" t="s">
        <v>1199</v>
      </c>
      <c r="C69" s="802">
        <f>OKŠT!F174</f>
        <v>0</v>
      </c>
      <c r="D69" s="802">
        <f>OKŠT!G174</f>
        <v>1001.592</v>
      </c>
      <c r="E69" s="802">
        <f>OKŠT!H174</f>
        <v>4300</v>
      </c>
      <c r="F69" s="910">
        <f>OKŠT!I174</f>
        <v>4300</v>
      </c>
      <c r="G69" s="920">
        <f>SUM(OKŠT!H171)</f>
        <v>4300</v>
      </c>
      <c r="H69" s="929">
        <v>0</v>
      </c>
      <c r="I69" s="800"/>
      <c r="J69" s="800"/>
      <c r="K69" s="800"/>
      <c r="L69" s="800"/>
      <c r="M69" s="800"/>
      <c r="N69" s="800"/>
      <c r="O69" s="800"/>
      <c r="P69" s="800"/>
      <c r="Q69" s="800"/>
      <c r="R69" s="800"/>
      <c r="S69" s="800"/>
      <c r="T69" s="800"/>
    </row>
    <row r="70" spans="1:20" s="788" customFormat="1" ht="15.75" thickBot="1">
      <c r="A70" s="792" t="s">
        <v>16</v>
      </c>
      <c r="B70" s="793" t="s">
        <v>17</v>
      </c>
      <c r="C70" s="802">
        <v>0</v>
      </c>
      <c r="D70" s="802">
        <v>0</v>
      </c>
      <c r="E70" s="802">
        <v>0</v>
      </c>
      <c r="F70" s="910">
        <v>0</v>
      </c>
      <c r="G70" s="920">
        <v>0</v>
      </c>
      <c r="H70" s="929">
        <v>0</v>
      </c>
      <c r="I70" s="800"/>
      <c r="J70" s="800"/>
      <c r="K70" s="800"/>
      <c r="L70" s="800"/>
      <c r="M70" s="800"/>
      <c r="N70" s="800"/>
      <c r="O70" s="800"/>
      <c r="P70" s="800"/>
      <c r="Q70" s="800"/>
      <c r="R70" s="800"/>
      <c r="S70" s="800"/>
      <c r="T70" s="800"/>
    </row>
    <row r="71" spans="1:20" s="788" customFormat="1" ht="15.75" thickBot="1">
      <c r="A71" s="792" t="s">
        <v>18</v>
      </c>
      <c r="B71" s="793" t="s">
        <v>1170</v>
      </c>
      <c r="C71" s="802">
        <v>0</v>
      </c>
      <c r="D71" s="802">
        <v>0</v>
      </c>
      <c r="E71" s="802">
        <v>0</v>
      </c>
      <c r="F71" s="910">
        <v>0</v>
      </c>
      <c r="G71" s="920">
        <v>0</v>
      </c>
      <c r="H71" s="929">
        <v>0</v>
      </c>
      <c r="I71" s="800"/>
      <c r="J71" s="800"/>
      <c r="K71" s="800"/>
      <c r="L71" s="800"/>
      <c r="M71" s="800"/>
      <c r="N71" s="800"/>
      <c r="O71" s="800"/>
      <c r="P71" s="800"/>
      <c r="Q71" s="800"/>
      <c r="R71" s="800"/>
      <c r="S71" s="800"/>
      <c r="T71" s="800"/>
    </row>
    <row r="72" spans="1:20" s="788" customFormat="1" ht="15.75" thickBot="1">
      <c r="A72" s="792" t="s">
        <v>19</v>
      </c>
      <c r="B72" s="793" t="s">
        <v>20</v>
      </c>
      <c r="C72" s="802">
        <f>'ORI '!F123</f>
        <v>116498</v>
      </c>
      <c r="D72" s="802">
        <f>'ORI '!G123</f>
        <v>219359.51316999996</v>
      </c>
      <c r="E72" s="802">
        <f>'ORI '!H123</f>
        <v>234724.75</v>
      </c>
      <c r="F72" s="910">
        <f>'ORI '!I123</f>
        <v>319618.75</v>
      </c>
      <c r="G72" s="920">
        <f>SUM('ORI '!H56)</f>
        <v>78778.75</v>
      </c>
      <c r="H72" s="929">
        <f>'ORI '!H123-'ORI '!H56</f>
        <v>155946</v>
      </c>
      <c r="I72" s="800"/>
      <c r="J72" s="800"/>
      <c r="K72" s="1011"/>
      <c r="L72" s="800"/>
      <c r="M72" s="800"/>
      <c r="N72" s="800"/>
      <c r="O72" s="800"/>
      <c r="P72" s="800"/>
      <c r="Q72" s="800"/>
      <c r="R72" s="800"/>
      <c r="S72" s="800"/>
      <c r="T72" s="800"/>
    </row>
    <row r="73" spans="1:20" s="788" customFormat="1" ht="15.75" thickBot="1">
      <c r="A73" s="792" t="s">
        <v>21</v>
      </c>
      <c r="B73" s="793" t="s">
        <v>1171</v>
      </c>
      <c r="C73" s="802">
        <f>ÚÚPaSÚ!F32</f>
        <v>0</v>
      </c>
      <c r="D73" s="802">
        <f>ÚÚPaSÚ!G32</f>
        <v>20.52</v>
      </c>
      <c r="E73" s="802">
        <f>ÚÚPaSÚ!H32</f>
        <v>350</v>
      </c>
      <c r="F73" s="910">
        <f>ÚÚPaSÚ!I32</f>
        <v>350</v>
      </c>
      <c r="G73" s="920">
        <v>0</v>
      </c>
      <c r="H73" s="929">
        <f>SUM(ÚÚPaSÚ!H32)</f>
        <v>350</v>
      </c>
      <c r="I73" s="800"/>
      <c r="J73" s="800"/>
      <c r="K73" s="1011"/>
      <c r="L73" s="800"/>
      <c r="M73" s="800"/>
      <c r="N73" s="800"/>
      <c r="O73" s="800"/>
      <c r="P73" s="800"/>
      <c r="Q73" s="800"/>
      <c r="R73" s="800"/>
      <c r="S73" s="800"/>
      <c r="T73" s="800"/>
    </row>
    <row r="74" spans="1:20" s="788" customFormat="1" ht="15.75" thickBot="1">
      <c r="A74" s="792" t="s">
        <v>22</v>
      </c>
      <c r="B74" s="793" t="s">
        <v>23</v>
      </c>
      <c r="C74" s="802">
        <f>OMM!F203</f>
        <v>102100</v>
      </c>
      <c r="D74" s="802">
        <f>OMM!G203</f>
        <v>95083.347699999998</v>
      </c>
      <c r="E74" s="802">
        <f>OMM!H203</f>
        <v>47050</v>
      </c>
      <c r="F74" s="910">
        <f>OMM!I203</f>
        <v>70733.641999999993</v>
      </c>
      <c r="G74" s="920">
        <f>OMM!H144</f>
        <v>46100</v>
      </c>
      <c r="H74" s="929">
        <f>SUM(OMM!H142:H143)</f>
        <v>950</v>
      </c>
      <c r="I74" s="800"/>
      <c r="J74" s="800"/>
      <c r="K74" s="1011"/>
      <c r="L74" s="800"/>
      <c r="M74" s="800"/>
      <c r="N74" s="800"/>
      <c r="O74" s="800"/>
      <c r="P74" s="800"/>
      <c r="Q74" s="800"/>
      <c r="R74" s="800"/>
      <c r="S74" s="800"/>
      <c r="T74" s="800"/>
    </row>
    <row r="75" spans="1:20" s="788" customFormat="1" ht="15.75" thickBot="1">
      <c r="A75" s="792" t="s">
        <v>24</v>
      </c>
      <c r="B75" s="793" t="s">
        <v>25</v>
      </c>
      <c r="C75" s="802">
        <f>'OFE '!F50</f>
        <v>9000</v>
      </c>
      <c r="D75" s="802">
        <f>'OFE '!G50</f>
        <v>12176.3807</v>
      </c>
      <c r="E75" s="802">
        <f>'OFE '!H50</f>
        <v>16960.510000000002</v>
      </c>
      <c r="F75" s="910">
        <f>'OFE '!I50</f>
        <v>16960.510000000002</v>
      </c>
      <c r="G75" s="920">
        <v>0</v>
      </c>
      <c r="H75" s="929">
        <f>SUM('OFE '!H50)</f>
        <v>16960.510000000002</v>
      </c>
      <c r="I75" s="800"/>
      <c r="J75" s="800"/>
      <c r="K75" s="1011"/>
      <c r="L75" s="800"/>
      <c r="M75" s="800"/>
      <c r="N75" s="800"/>
      <c r="O75" s="800"/>
      <c r="P75" s="800"/>
      <c r="Q75" s="800"/>
      <c r="R75" s="800"/>
      <c r="S75" s="800"/>
      <c r="T75" s="800"/>
    </row>
    <row r="76" spans="1:20" s="788" customFormat="1" ht="15.75" thickBot="1">
      <c r="A76" s="792" t="s">
        <v>26</v>
      </c>
      <c r="B76" s="793" t="s">
        <v>27</v>
      </c>
      <c r="C76" s="802">
        <f>OKP!F57</f>
        <v>0</v>
      </c>
      <c r="D76" s="802">
        <f>OKP!G57</f>
        <v>0</v>
      </c>
      <c r="E76" s="802">
        <f>OKP!H57</f>
        <v>100</v>
      </c>
      <c r="F76" s="910">
        <f>OKP!I57</f>
        <v>100</v>
      </c>
      <c r="G76" s="920">
        <v>0</v>
      </c>
      <c r="H76" s="929">
        <f>SUM(OKP!H55)</f>
        <v>100</v>
      </c>
      <c r="I76" s="1012"/>
      <c r="J76" s="1013"/>
      <c r="K76" s="1011"/>
      <c r="L76" s="800"/>
      <c r="M76" s="800"/>
      <c r="N76" s="800"/>
      <c r="O76" s="800"/>
      <c r="P76" s="800"/>
      <c r="Q76" s="800"/>
      <c r="R76" s="800"/>
      <c r="S76" s="800"/>
      <c r="T76" s="800"/>
    </row>
    <row r="77" spans="1:20" s="788" customFormat="1" ht="15.75" thickBot="1">
      <c r="A77" s="797" t="s">
        <v>28</v>
      </c>
      <c r="B77" s="798" t="s">
        <v>29</v>
      </c>
      <c r="C77" s="803">
        <f>OT!F104</f>
        <v>46971</v>
      </c>
      <c r="D77" s="803">
        <f>OT!G104</f>
        <v>57419.584739999998</v>
      </c>
      <c r="E77" s="803">
        <f>OT!H104</f>
        <v>12745</v>
      </c>
      <c r="F77" s="1297">
        <f>OT!I104</f>
        <v>40585.582999999999</v>
      </c>
      <c r="G77" s="921">
        <f>SUM(OT!H59)</f>
        <v>10832</v>
      </c>
      <c r="H77" s="930">
        <f>SUM(OT!H57:H58)</f>
        <v>1913</v>
      </c>
      <c r="I77" s="1012"/>
      <c r="J77" s="1014"/>
      <c r="K77" s="1013"/>
      <c r="L77" s="800"/>
      <c r="M77" s="800"/>
      <c r="N77" s="800"/>
      <c r="O77" s="800"/>
      <c r="P77" s="800"/>
      <c r="Q77" s="800"/>
      <c r="R77" s="800"/>
      <c r="S77" s="800"/>
      <c r="T77" s="800"/>
    </row>
    <row r="78" spans="1:20" s="788" customFormat="1" ht="6" customHeight="1" thickTop="1" thickBot="1">
      <c r="A78" s="786"/>
      <c r="B78" s="786"/>
      <c r="C78" s="787"/>
      <c r="D78" s="787"/>
      <c r="E78" s="787"/>
      <c r="F78" s="787"/>
      <c r="G78" s="922"/>
      <c r="H78" s="922"/>
      <c r="I78" s="1012"/>
      <c r="J78" s="1013"/>
      <c r="K78" s="1013"/>
      <c r="L78" s="800"/>
      <c r="M78" s="800"/>
      <c r="N78" s="800"/>
      <c r="O78" s="800"/>
      <c r="P78" s="800"/>
      <c r="Q78" s="800"/>
      <c r="R78" s="800"/>
      <c r="S78" s="800"/>
      <c r="T78" s="800"/>
    </row>
    <row r="79" spans="1:20" s="788" customFormat="1" ht="18.75" customHeight="1" thickTop="1" thickBot="1">
      <c r="A79" s="1939" t="s">
        <v>32</v>
      </c>
      <c r="B79" s="1940"/>
      <c r="C79" s="913">
        <f>SUM(C60:C78)</f>
        <v>312106</v>
      </c>
      <c r="D79" s="913">
        <f>SUM(D60:D78)</f>
        <v>429094.05330999999</v>
      </c>
      <c r="E79" s="913">
        <f>SUM(E60:E78)</f>
        <v>329680.26</v>
      </c>
      <c r="F79" s="1296">
        <f>SUM(F60:F78)</f>
        <v>471294.54399999999</v>
      </c>
      <c r="G79" s="923">
        <f>SUM(G60:G77)</f>
        <v>150010.75</v>
      </c>
      <c r="H79" s="931">
        <f>SUM(H60:H77)</f>
        <v>179669.51</v>
      </c>
      <c r="I79" s="1012"/>
      <c r="J79" s="1015"/>
      <c r="K79" s="1015"/>
      <c r="L79" s="800"/>
      <c r="M79" s="800"/>
      <c r="N79" s="800"/>
      <c r="O79" s="800"/>
      <c r="P79" s="800"/>
      <c r="Q79" s="800"/>
      <c r="R79" s="800"/>
      <c r="S79" s="800"/>
      <c r="T79" s="800"/>
    </row>
    <row r="80" spans="1:20" s="788" customFormat="1" ht="15.75" thickTop="1">
      <c r="C80" s="801"/>
      <c r="D80" s="801"/>
      <c r="E80" s="1298"/>
      <c r="F80" s="1298"/>
      <c r="G80" s="951"/>
      <c r="H80" s="932"/>
      <c r="I80" s="1016"/>
      <c r="J80" s="1017"/>
      <c r="K80" s="800"/>
      <c r="L80" s="800"/>
      <c r="M80" s="800"/>
      <c r="N80" s="800"/>
      <c r="O80" s="800"/>
      <c r="P80" s="800"/>
      <c r="Q80" s="800"/>
      <c r="R80" s="800"/>
      <c r="S80" s="800"/>
      <c r="T80" s="800"/>
    </row>
    <row r="81" spans="3:20" s="788" customFormat="1">
      <c r="C81" s="801"/>
      <c r="D81" s="801"/>
      <c r="E81" s="912"/>
      <c r="F81" s="912"/>
      <c r="G81" s="924"/>
      <c r="H81" s="914"/>
      <c r="I81" s="934"/>
      <c r="J81" s="800"/>
      <c r="K81" s="800"/>
      <c r="L81" s="800"/>
      <c r="M81" s="800"/>
      <c r="N81" s="800"/>
      <c r="O81" s="800"/>
      <c r="P81" s="800"/>
      <c r="Q81" s="800"/>
      <c r="R81" s="800"/>
      <c r="S81" s="800"/>
      <c r="T81" s="800"/>
    </row>
    <row r="82" spans="3:20" s="788" customFormat="1">
      <c r="C82" s="801"/>
      <c r="D82" s="801"/>
      <c r="E82" s="801"/>
      <c r="F82" s="801"/>
      <c r="G82" s="914"/>
      <c r="H82" s="914"/>
      <c r="I82" s="934"/>
      <c r="J82" s="800"/>
      <c r="K82" s="800"/>
      <c r="L82" s="800"/>
      <c r="M82" s="800"/>
      <c r="N82" s="800"/>
      <c r="O82" s="800"/>
      <c r="P82" s="800"/>
      <c r="Q82" s="800"/>
      <c r="R82" s="800"/>
      <c r="S82" s="800"/>
      <c r="T82" s="800"/>
    </row>
    <row r="83" spans="3:20" s="788" customFormat="1">
      <c r="C83" s="801"/>
      <c r="D83" s="801"/>
      <c r="E83" s="801"/>
      <c r="F83" s="801"/>
      <c r="G83" s="914"/>
      <c r="H83" s="914"/>
      <c r="I83" s="934"/>
      <c r="J83" s="800"/>
      <c r="K83" s="800"/>
      <c r="L83" s="800"/>
      <c r="M83" s="800"/>
      <c r="N83" s="800"/>
      <c r="O83" s="800"/>
      <c r="P83" s="800"/>
      <c r="Q83" s="800"/>
      <c r="R83" s="800"/>
      <c r="S83" s="800"/>
      <c r="T83" s="800"/>
    </row>
    <row r="84" spans="3:20" s="788" customFormat="1">
      <c r="C84" s="801"/>
      <c r="D84" s="801"/>
      <c r="E84" s="801"/>
      <c r="F84" s="801"/>
      <c r="G84" s="914"/>
      <c r="H84" s="914"/>
      <c r="I84" s="934"/>
      <c r="J84" s="800"/>
      <c r="K84" s="800"/>
      <c r="L84" s="800"/>
      <c r="M84" s="800"/>
      <c r="N84" s="800"/>
      <c r="O84" s="800"/>
      <c r="P84" s="800"/>
      <c r="Q84" s="800"/>
      <c r="R84" s="800"/>
      <c r="S84" s="800"/>
      <c r="T84" s="800"/>
    </row>
    <row r="85" spans="3:20" s="788" customFormat="1">
      <c r="C85" s="801"/>
      <c r="D85" s="801"/>
      <c r="E85" s="801"/>
      <c r="F85" s="801"/>
      <c r="G85" s="914"/>
      <c r="H85" s="914"/>
      <c r="I85" s="934"/>
      <c r="J85" s="800"/>
      <c r="K85" s="800"/>
      <c r="L85" s="800"/>
      <c r="M85" s="800"/>
      <c r="N85" s="800"/>
      <c r="O85" s="800"/>
      <c r="P85" s="800"/>
      <c r="Q85" s="800"/>
      <c r="R85" s="800"/>
      <c r="S85" s="800"/>
      <c r="T85" s="800"/>
    </row>
    <row r="86" spans="3:20" s="788" customFormat="1">
      <c r="C86" s="801"/>
      <c r="D86" s="801"/>
      <c r="E86" s="801"/>
      <c r="F86" s="801"/>
      <c r="G86" s="914"/>
      <c r="H86" s="914"/>
      <c r="I86" s="934"/>
      <c r="J86" s="800"/>
      <c r="K86" s="800"/>
      <c r="L86" s="800"/>
      <c r="M86" s="800"/>
      <c r="N86" s="800"/>
      <c r="O86" s="800"/>
      <c r="P86" s="800"/>
      <c r="Q86" s="800"/>
      <c r="R86" s="800"/>
      <c r="S86" s="800"/>
      <c r="T86" s="800"/>
    </row>
    <row r="87" spans="3:20" s="788" customFormat="1">
      <c r="C87" s="801"/>
      <c r="D87" s="801"/>
      <c r="E87" s="801"/>
      <c r="F87" s="801"/>
      <c r="G87" s="914"/>
      <c r="H87" s="914"/>
      <c r="I87" s="934"/>
      <c r="J87" s="800"/>
      <c r="K87" s="800"/>
      <c r="L87" s="800"/>
      <c r="M87" s="800"/>
      <c r="N87" s="800"/>
      <c r="O87" s="800"/>
      <c r="P87" s="800"/>
      <c r="Q87" s="800"/>
      <c r="R87" s="800"/>
      <c r="S87" s="800"/>
      <c r="T87" s="800"/>
    </row>
    <row r="88" spans="3:20" s="788" customFormat="1">
      <c r="C88" s="801"/>
      <c r="D88" s="801"/>
      <c r="E88" s="801"/>
      <c r="F88" s="801"/>
      <c r="G88" s="914"/>
      <c r="H88" s="914"/>
      <c r="I88" s="934"/>
      <c r="J88" s="800"/>
      <c r="K88" s="800"/>
      <c r="L88" s="800"/>
      <c r="M88" s="800"/>
      <c r="N88" s="800"/>
      <c r="O88" s="800"/>
      <c r="P88" s="800"/>
      <c r="Q88" s="800"/>
      <c r="R88" s="800"/>
      <c r="S88" s="800"/>
      <c r="T88" s="800"/>
    </row>
    <row r="89" spans="3:20" s="788" customFormat="1">
      <c r="C89" s="801"/>
      <c r="D89" s="801"/>
      <c r="E89" s="801"/>
      <c r="F89" s="801"/>
      <c r="G89" s="914"/>
      <c r="H89" s="914"/>
      <c r="I89" s="934"/>
      <c r="J89" s="800"/>
      <c r="K89" s="800"/>
      <c r="L89" s="800"/>
      <c r="M89" s="800"/>
      <c r="N89" s="800"/>
      <c r="O89" s="800"/>
      <c r="P89" s="800"/>
      <c r="Q89" s="800"/>
      <c r="R89" s="800"/>
      <c r="S89" s="800"/>
      <c r="T89" s="800"/>
    </row>
    <row r="90" spans="3:20" s="788" customFormat="1">
      <c r="C90" s="801"/>
      <c r="D90" s="801"/>
      <c r="E90" s="801"/>
      <c r="F90" s="801"/>
      <c r="G90" s="914"/>
      <c r="H90" s="914"/>
      <c r="I90" s="934"/>
      <c r="J90" s="800"/>
      <c r="K90" s="800"/>
      <c r="L90" s="800"/>
      <c r="M90" s="800"/>
      <c r="N90" s="800"/>
      <c r="O90" s="800"/>
      <c r="P90" s="800"/>
      <c r="Q90" s="800"/>
      <c r="R90" s="800"/>
      <c r="S90" s="800"/>
      <c r="T90" s="800"/>
    </row>
    <row r="91" spans="3:20" s="788" customFormat="1">
      <c r="C91" s="801"/>
      <c r="D91" s="801"/>
      <c r="E91" s="801"/>
      <c r="F91" s="801"/>
      <c r="G91" s="914"/>
      <c r="H91" s="914"/>
      <c r="I91" s="934"/>
      <c r="J91" s="800"/>
      <c r="K91" s="800"/>
      <c r="L91" s="800"/>
      <c r="M91" s="800"/>
      <c r="N91" s="800"/>
      <c r="O91" s="800"/>
      <c r="P91" s="800"/>
      <c r="Q91" s="800"/>
      <c r="R91" s="800"/>
      <c r="S91" s="800"/>
      <c r="T91" s="800"/>
    </row>
    <row r="92" spans="3:20" s="788" customFormat="1">
      <c r="C92" s="801"/>
      <c r="D92" s="801"/>
      <c r="E92" s="801"/>
      <c r="F92" s="801"/>
      <c r="G92" s="914"/>
      <c r="H92" s="914"/>
      <c r="I92" s="934"/>
      <c r="J92" s="800"/>
      <c r="K92" s="800"/>
      <c r="L92" s="800"/>
      <c r="M92" s="800"/>
      <c r="N92" s="800"/>
      <c r="O92" s="800"/>
      <c r="P92" s="800"/>
      <c r="Q92" s="800"/>
      <c r="R92" s="800"/>
      <c r="S92" s="800"/>
      <c r="T92" s="800"/>
    </row>
    <row r="93" spans="3:20" s="788" customFormat="1">
      <c r="C93" s="801"/>
      <c r="D93" s="801"/>
      <c r="E93" s="801"/>
      <c r="F93" s="801"/>
      <c r="G93" s="914"/>
      <c r="H93" s="914"/>
      <c r="I93" s="934"/>
      <c r="J93" s="800"/>
      <c r="K93" s="800"/>
      <c r="L93" s="800"/>
      <c r="M93" s="800"/>
      <c r="N93" s="800"/>
      <c r="O93" s="800"/>
      <c r="P93" s="800"/>
      <c r="Q93" s="800"/>
      <c r="R93" s="800"/>
      <c r="S93" s="800"/>
      <c r="T93" s="800"/>
    </row>
    <row r="94" spans="3:20" s="788" customFormat="1">
      <c r="C94" s="801"/>
      <c r="D94" s="801"/>
      <c r="E94" s="801"/>
      <c r="F94" s="801"/>
      <c r="G94" s="914"/>
      <c r="H94" s="914"/>
      <c r="I94" s="934"/>
      <c r="J94" s="800"/>
      <c r="K94" s="800"/>
      <c r="L94" s="800"/>
      <c r="M94" s="800"/>
      <c r="N94" s="800"/>
      <c r="O94" s="800"/>
      <c r="P94" s="800"/>
      <c r="Q94" s="800"/>
      <c r="R94" s="800"/>
      <c r="S94" s="800"/>
      <c r="T94" s="800"/>
    </row>
    <row r="95" spans="3:20" s="788" customFormat="1">
      <c r="C95" s="801"/>
      <c r="D95" s="801"/>
      <c r="E95" s="801"/>
      <c r="F95" s="801"/>
      <c r="G95" s="914"/>
      <c r="H95" s="914"/>
      <c r="I95" s="934"/>
      <c r="J95" s="800"/>
      <c r="K95" s="800"/>
      <c r="L95" s="800"/>
      <c r="M95" s="800"/>
      <c r="N95" s="800"/>
      <c r="O95" s="800"/>
      <c r="P95" s="800"/>
      <c r="Q95" s="800"/>
      <c r="R95" s="800"/>
      <c r="S95" s="800"/>
      <c r="T95" s="800"/>
    </row>
    <row r="96" spans="3:20" s="788" customFormat="1">
      <c r="C96" s="801"/>
      <c r="D96" s="801"/>
      <c r="E96" s="801"/>
      <c r="F96" s="801"/>
      <c r="G96" s="914"/>
      <c r="H96" s="914"/>
      <c r="I96" s="934"/>
      <c r="J96" s="800"/>
      <c r="K96" s="800"/>
      <c r="L96" s="800"/>
      <c r="M96" s="800"/>
      <c r="N96" s="800"/>
      <c r="O96" s="800"/>
      <c r="P96" s="800"/>
      <c r="Q96" s="800"/>
      <c r="R96" s="800"/>
      <c r="S96" s="800"/>
      <c r="T96" s="800"/>
    </row>
    <row r="97" spans="3:20" s="788" customFormat="1">
      <c r="C97" s="801"/>
      <c r="D97" s="801"/>
      <c r="E97" s="801"/>
      <c r="F97" s="801"/>
      <c r="G97" s="914"/>
      <c r="H97" s="914"/>
      <c r="I97" s="934"/>
      <c r="J97" s="800"/>
      <c r="K97" s="800"/>
      <c r="L97" s="800"/>
      <c r="M97" s="800"/>
      <c r="N97" s="800"/>
      <c r="O97" s="800"/>
      <c r="P97" s="800"/>
      <c r="Q97" s="800"/>
      <c r="R97" s="800"/>
      <c r="S97" s="800"/>
      <c r="T97" s="800"/>
    </row>
    <row r="98" spans="3:20" s="788" customFormat="1">
      <c r="C98" s="801"/>
      <c r="D98" s="801"/>
      <c r="E98" s="801"/>
      <c r="F98" s="801"/>
      <c r="G98" s="914"/>
      <c r="H98" s="914"/>
      <c r="I98" s="934"/>
      <c r="J98" s="800"/>
      <c r="K98" s="800"/>
      <c r="L98" s="800"/>
      <c r="M98" s="800"/>
      <c r="N98" s="800"/>
      <c r="O98" s="800"/>
      <c r="P98" s="800"/>
      <c r="Q98" s="800"/>
      <c r="R98" s="800"/>
      <c r="S98" s="800"/>
      <c r="T98" s="800"/>
    </row>
    <row r="99" spans="3:20" s="788" customFormat="1">
      <c r="C99" s="801"/>
      <c r="D99" s="801"/>
      <c r="E99" s="801"/>
      <c r="F99" s="801"/>
      <c r="G99" s="914"/>
      <c r="H99" s="914"/>
      <c r="I99" s="934"/>
      <c r="J99" s="800"/>
      <c r="K99" s="800"/>
      <c r="L99" s="800"/>
      <c r="M99" s="800"/>
      <c r="N99" s="800"/>
      <c r="O99" s="800"/>
      <c r="P99" s="800"/>
      <c r="Q99" s="800"/>
      <c r="R99" s="800"/>
      <c r="S99" s="800"/>
      <c r="T99" s="800"/>
    </row>
    <row r="100" spans="3:20" s="788" customFormat="1">
      <c r="C100" s="801"/>
      <c r="D100" s="801"/>
      <c r="E100" s="801"/>
      <c r="F100" s="801"/>
      <c r="G100" s="914"/>
      <c r="H100" s="914"/>
      <c r="I100" s="934"/>
      <c r="J100" s="800"/>
      <c r="K100" s="800"/>
      <c r="L100" s="800"/>
      <c r="M100" s="800"/>
      <c r="N100" s="800"/>
      <c r="O100" s="800"/>
      <c r="P100" s="800"/>
      <c r="Q100" s="800"/>
      <c r="R100" s="800"/>
      <c r="S100" s="800"/>
      <c r="T100" s="800"/>
    </row>
    <row r="101" spans="3:20" s="788" customFormat="1">
      <c r="C101" s="801"/>
      <c r="D101" s="801"/>
      <c r="E101" s="801"/>
      <c r="F101" s="801"/>
      <c r="G101" s="914"/>
      <c r="H101" s="914"/>
      <c r="I101" s="934"/>
      <c r="J101" s="800"/>
      <c r="K101" s="800"/>
      <c r="L101" s="800"/>
      <c r="M101" s="800"/>
      <c r="N101" s="800"/>
      <c r="O101" s="800"/>
      <c r="P101" s="800"/>
      <c r="Q101" s="800"/>
      <c r="R101" s="800"/>
      <c r="S101" s="800"/>
      <c r="T101" s="800"/>
    </row>
    <row r="102" spans="3:20" s="788" customFormat="1">
      <c r="C102" s="801"/>
      <c r="D102" s="801"/>
      <c r="E102" s="801"/>
      <c r="F102" s="801"/>
      <c r="G102" s="914"/>
      <c r="H102" s="914"/>
      <c r="I102" s="934"/>
      <c r="J102" s="800"/>
      <c r="K102" s="800"/>
      <c r="L102" s="800"/>
      <c r="M102" s="800"/>
      <c r="N102" s="800"/>
      <c r="O102" s="800"/>
      <c r="P102" s="800"/>
      <c r="Q102" s="800"/>
      <c r="R102" s="800"/>
      <c r="S102" s="800"/>
      <c r="T102" s="800"/>
    </row>
    <row r="103" spans="3:20" s="788" customFormat="1">
      <c r="C103" s="801"/>
      <c r="D103" s="801"/>
      <c r="E103" s="801"/>
      <c r="F103" s="801"/>
      <c r="G103" s="914"/>
      <c r="H103" s="914"/>
      <c r="I103" s="934"/>
      <c r="J103" s="800"/>
      <c r="K103" s="800"/>
      <c r="L103" s="800"/>
      <c r="M103" s="800"/>
      <c r="N103" s="800"/>
      <c r="O103" s="800"/>
      <c r="P103" s="800"/>
      <c r="Q103" s="800"/>
      <c r="R103" s="800"/>
      <c r="S103" s="800"/>
      <c r="T103" s="800"/>
    </row>
    <row r="104" spans="3:20" s="788" customFormat="1">
      <c r="C104" s="801"/>
      <c r="D104" s="801"/>
      <c r="E104" s="801"/>
      <c r="F104" s="801"/>
      <c r="G104" s="914"/>
      <c r="H104" s="914"/>
      <c r="I104" s="934"/>
      <c r="J104" s="800"/>
      <c r="K104" s="800"/>
      <c r="L104" s="800"/>
      <c r="M104" s="800"/>
      <c r="N104" s="800"/>
      <c r="O104" s="800"/>
      <c r="P104" s="800"/>
      <c r="Q104" s="800"/>
      <c r="R104" s="800"/>
      <c r="S104" s="800"/>
      <c r="T104" s="800"/>
    </row>
    <row r="105" spans="3:20" s="788" customFormat="1">
      <c r="C105" s="801"/>
      <c r="D105" s="801"/>
      <c r="E105" s="801"/>
      <c r="F105" s="801"/>
      <c r="G105" s="914"/>
      <c r="H105" s="914"/>
      <c r="I105" s="934"/>
      <c r="J105" s="800"/>
      <c r="K105" s="800"/>
      <c r="L105" s="800"/>
      <c r="M105" s="800"/>
      <c r="N105" s="800"/>
      <c r="O105" s="800"/>
      <c r="P105" s="800"/>
      <c r="Q105" s="800"/>
      <c r="R105" s="800"/>
      <c r="S105" s="800"/>
      <c r="T105" s="800"/>
    </row>
    <row r="106" spans="3:20" s="788" customFormat="1">
      <c r="C106" s="801"/>
      <c r="D106" s="801"/>
      <c r="E106" s="801"/>
      <c r="F106" s="801"/>
      <c r="G106" s="914"/>
      <c r="H106" s="914"/>
      <c r="I106" s="934"/>
      <c r="J106" s="800"/>
      <c r="K106" s="800"/>
      <c r="L106" s="800"/>
      <c r="M106" s="800"/>
      <c r="N106" s="800"/>
      <c r="O106" s="800"/>
      <c r="P106" s="800"/>
      <c r="Q106" s="800"/>
      <c r="R106" s="800"/>
      <c r="S106" s="800"/>
      <c r="T106" s="800"/>
    </row>
    <row r="107" spans="3:20" s="788" customFormat="1">
      <c r="C107" s="801"/>
      <c r="D107" s="801"/>
      <c r="E107" s="801"/>
      <c r="F107" s="801"/>
      <c r="G107" s="914"/>
      <c r="H107" s="914"/>
      <c r="I107" s="934"/>
      <c r="J107" s="800"/>
      <c r="K107" s="800"/>
      <c r="L107" s="800"/>
      <c r="M107" s="800"/>
      <c r="N107" s="800"/>
      <c r="O107" s="800"/>
      <c r="P107" s="800"/>
      <c r="Q107" s="800"/>
      <c r="R107" s="800"/>
      <c r="S107" s="800"/>
      <c r="T107" s="800"/>
    </row>
    <row r="108" spans="3:20" s="788" customFormat="1">
      <c r="C108" s="801"/>
      <c r="D108" s="801"/>
      <c r="E108" s="801"/>
      <c r="F108" s="801"/>
      <c r="G108" s="914"/>
      <c r="H108" s="914"/>
      <c r="I108" s="934"/>
      <c r="J108" s="800"/>
      <c r="K108" s="800"/>
      <c r="L108" s="800"/>
      <c r="M108" s="800"/>
      <c r="N108" s="800"/>
      <c r="O108" s="800"/>
      <c r="P108" s="800"/>
      <c r="Q108" s="800"/>
      <c r="R108" s="800"/>
      <c r="S108" s="800"/>
      <c r="T108" s="800"/>
    </row>
    <row r="109" spans="3:20" s="788" customFormat="1">
      <c r="C109" s="801"/>
      <c r="D109" s="801"/>
      <c r="E109" s="801"/>
      <c r="F109" s="801"/>
      <c r="G109" s="914"/>
      <c r="H109" s="914"/>
      <c r="I109" s="934"/>
      <c r="J109" s="800"/>
      <c r="K109" s="800"/>
      <c r="L109" s="800"/>
      <c r="M109" s="800"/>
      <c r="N109" s="800"/>
      <c r="O109" s="800"/>
      <c r="P109" s="800"/>
      <c r="Q109" s="800"/>
      <c r="R109" s="800"/>
      <c r="S109" s="800"/>
      <c r="T109" s="800"/>
    </row>
    <row r="110" spans="3:20" s="788" customFormat="1">
      <c r="C110" s="801"/>
      <c r="D110" s="801"/>
      <c r="E110" s="801"/>
      <c r="F110" s="801"/>
      <c r="G110" s="914"/>
      <c r="H110" s="914"/>
      <c r="I110" s="934"/>
      <c r="J110" s="800"/>
      <c r="K110" s="800"/>
      <c r="L110" s="800"/>
      <c r="M110" s="800"/>
      <c r="N110" s="800"/>
      <c r="O110" s="800"/>
      <c r="P110" s="800"/>
      <c r="Q110" s="800"/>
      <c r="R110" s="800"/>
      <c r="S110" s="800"/>
      <c r="T110" s="800"/>
    </row>
    <row r="111" spans="3:20" s="788" customFormat="1">
      <c r="C111" s="801"/>
      <c r="D111" s="801"/>
      <c r="E111" s="801"/>
      <c r="F111" s="801"/>
      <c r="G111" s="914"/>
      <c r="H111" s="914"/>
      <c r="I111" s="934"/>
      <c r="J111" s="800"/>
      <c r="K111" s="800"/>
      <c r="L111" s="800"/>
      <c r="M111" s="800"/>
      <c r="N111" s="800"/>
      <c r="O111" s="800"/>
      <c r="P111" s="800"/>
      <c r="Q111" s="800"/>
      <c r="R111" s="800"/>
      <c r="S111" s="800"/>
      <c r="T111" s="800"/>
    </row>
    <row r="112" spans="3:20" s="788" customFormat="1">
      <c r="C112" s="801"/>
      <c r="D112" s="801"/>
      <c r="E112" s="801"/>
      <c r="F112" s="801"/>
      <c r="G112" s="914"/>
      <c r="H112" s="914"/>
      <c r="I112" s="934"/>
      <c r="J112" s="800"/>
      <c r="K112" s="800"/>
      <c r="L112" s="800"/>
      <c r="M112" s="800"/>
      <c r="N112" s="800"/>
      <c r="O112" s="800"/>
      <c r="P112" s="800"/>
      <c r="Q112" s="800"/>
      <c r="R112" s="800"/>
      <c r="S112" s="800"/>
      <c r="T112" s="800"/>
    </row>
    <row r="113" spans="1:20" s="788" customFormat="1">
      <c r="C113" s="801"/>
      <c r="D113" s="801"/>
      <c r="E113" s="801"/>
      <c r="F113" s="801"/>
      <c r="G113" s="914"/>
      <c r="H113" s="914"/>
      <c r="I113" s="934"/>
      <c r="J113" s="800"/>
      <c r="K113" s="800"/>
      <c r="L113" s="800"/>
      <c r="M113" s="800"/>
      <c r="N113" s="800"/>
      <c r="O113" s="800"/>
      <c r="P113" s="800"/>
      <c r="Q113" s="800"/>
      <c r="R113" s="800"/>
      <c r="S113" s="800"/>
      <c r="T113" s="800"/>
    </row>
    <row r="114" spans="1:20" s="788" customFormat="1">
      <c r="C114" s="801"/>
      <c r="D114" s="801"/>
      <c r="E114" s="801"/>
      <c r="F114" s="801"/>
      <c r="G114" s="914"/>
      <c r="H114" s="914"/>
      <c r="I114" s="934"/>
      <c r="J114" s="800"/>
      <c r="K114" s="800"/>
      <c r="L114" s="800"/>
      <c r="M114" s="800"/>
      <c r="N114" s="800"/>
      <c r="O114" s="800"/>
      <c r="P114" s="800"/>
      <c r="Q114" s="800"/>
      <c r="R114" s="800"/>
      <c r="S114" s="800"/>
      <c r="T114" s="800"/>
    </row>
    <row r="115" spans="1:20" s="788" customFormat="1">
      <c r="C115" s="801"/>
      <c r="D115" s="801"/>
      <c r="E115" s="801"/>
      <c r="F115" s="801"/>
      <c r="G115" s="914"/>
      <c r="H115" s="914"/>
      <c r="I115" s="934"/>
      <c r="J115" s="800"/>
      <c r="K115" s="800"/>
      <c r="L115" s="800"/>
      <c r="M115" s="800"/>
      <c r="N115" s="800"/>
      <c r="O115" s="800"/>
      <c r="P115" s="800"/>
      <c r="Q115" s="800"/>
      <c r="R115" s="800"/>
      <c r="S115" s="800"/>
      <c r="T115" s="800"/>
    </row>
    <row r="116" spans="1:20" s="788" customFormat="1">
      <c r="C116" s="801"/>
      <c r="D116" s="801"/>
      <c r="E116" s="801"/>
      <c r="F116" s="801"/>
      <c r="G116" s="914"/>
      <c r="H116" s="914"/>
      <c r="I116" s="934"/>
      <c r="J116" s="800"/>
      <c r="K116" s="800"/>
      <c r="L116" s="800"/>
      <c r="M116" s="800"/>
      <c r="N116" s="800"/>
      <c r="O116" s="800"/>
      <c r="P116" s="800"/>
      <c r="Q116" s="800"/>
      <c r="R116" s="800"/>
      <c r="S116" s="800"/>
      <c r="T116" s="800"/>
    </row>
    <row r="117" spans="1:20" s="788" customFormat="1">
      <c r="C117" s="801"/>
      <c r="D117" s="801"/>
      <c r="E117" s="801"/>
      <c r="F117" s="801"/>
      <c r="G117" s="914"/>
      <c r="H117" s="914"/>
      <c r="I117" s="934"/>
      <c r="J117" s="800"/>
      <c r="K117" s="800"/>
      <c r="L117" s="800"/>
      <c r="M117" s="800"/>
      <c r="N117" s="800"/>
      <c r="O117" s="800"/>
      <c r="P117" s="800"/>
      <c r="Q117" s="800"/>
      <c r="R117" s="800"/>
      <c r="S117" s="800"/>
      <c r="T117" s="800"/>
    </row>
    <row r="118" spans="1:20" s="788" customFormat="1">
      <c r="C118" s="801"/>
      <c r="D118" s="801"/>
      <c r="E118" s="801"/>
      <c r="F118" s="801"/>
      <c r="G118" s="914"/>
      <c r="H118" s="914"/>
      <c r="I118" s="934"/>
      <c r="J118" s="800"/>
      <c r="K118" s="800"/>
      <c r="L118" s="800"/>
      <c r="M118" s="800"/>
      <c r="N118" s="800"/>
      <c r="O118" s="800"/>
      <c r="P118" s="800"/>
      <c r="Q118" s="800"/>
      <c r="R118" s="800"/>
      <c r="S118" s="800"/>
      <c r="T118" s="800"/>
    </row>
    <row r="119" spans="1:20" s="788" customFormat="1">
      <c r="C119" s="801"/>
      <c r="D119" s="801"/>
      <c r="E119" s="801"/>
      <c r="F119" s="801"/>
      <c r="G119" s="914"/>
      <c r="H119" s="914"/>
      <c r="I119" s="934"/>
      <c r="J119" s="800"/>
      <c r="K119" s="800"/>
      <c r="L119" s="800"/>
      <c r="M119" s="800"/>
      <c r="N119" s="800"/>
      <c r="O119" s="800"/>
      <c r="P119" s="800"/>
      <c r="Q119" s="800"/>
      <c r="R119" s="800"/>
      <c r="S119" s="800"/>
      <c r="T119" s="800"/>
    </row>
    <row r="120" spans="1:20" s="788" customFormat="1">
      <c r="C120" s="801"/>
      <c r="D120" s="801"/>
      <c r="E120" s="801"/>
      <c r="F120" s="801"/>
      <c r="G120" s="914"/>
      <c r="H120" s="914"/>
      <c r="I120" s="934"/>
      <c r="J120" s="800"/>
      <c r="K120" s="800"/>
      <c r="L120" s="800"/>
      <c r="M120" s="800"/>
      <c r="N120" s="800"/>
      <c r="O120" s="800"/>
      <c r="P120" s="800"/>
      <c r="Q120" s="800"/>
      <c r="R120" s="800"/>
      <c r="S120" s="800"/>
      <c r="T120" s="800"/>
    </row>
    <row r="121" spans="1:20" s="788" customFormat="1">
      <c r="C121" s="801"/>
      <c r="D121" s="801"/>
      <c r="E121" s="801"/>
      <c r="F121" s="801"/>
      <c r="G121" s="914"/>
      <c r="H121" s="914"/>
      <c r="I121" s="934"/>
      <c r="J121" s="800"/>
      <c r="K121" s="800"/>
      <c r="L121" s="800"/>
      <c r="M121" s="800"/>
      <c r="N121" s="800"/>
      <c r="O121" s="800"/>
      <c r="P121" s="800"/>
      <c r="Q121" s="800"/>
      <c r="R121" s="800"/>
      <c r="S121" s="800"/>
      <c r="T121" s="800"/>
    </row>
    <row r="122" spans="1:20" s="788" customFormat="1">
      <c r="C122" s="801"/>
      <c r="D122" s="801"/>
      <c r="E122" s="801"/>
      <c r="F122" s="801"/>
      <c r="G122" s="914"/>
      <c r="H122" s="914"/>
      <c r="I122" s="934"/>
      <c r="J122" s="800"/>
      <c r="K122" s="800"/>
      <c r="L122" s="800"/>
      <c r="M122" s="800"/>
      <c r="N122" s="800"/>
      <c r="O122" s="800"/>
      <c r="P122" s="800"/>
      <c r="Q122" s="800"/>
      <c r="R122" s="800"/>
      <c r="S122" s="800"/>
      <c r="T122" s="800"/>
    </row>
    <row r="123" spans="1:20" s="788" customFormat="1">
      <c r="A123" s="804"/>
      <c r="B123" s="804"/>
      <c r="C123" s="805"/>
      <c r="D123" s="805"/>
      <c r="E123" s="805"/>
      <c r="F123" s="805"/>
      <c r="G123" s="914"/>
      <c r="H123" s="914"/>
      <c r="I123" s="934"/>
      <c r="J123" s="800"/>
      <c r="K123" s="800"/>
      <c r="L123" s="800"/>
      <c r="M123" s="800"/>
      <c r="N123" s="800"/>
      <c r="O123" s="800"/>
      <c r="P123" s="800"/>
      <c r="Q123" s="800"/>
      <c r="R123" s="800"/>
      <c r="S123" s="800"/>
      <c r="T123" s="800"/>
    </row>
  </sheetData>
  <mergeCells count="19">
    <mergeCell ref="F7:F9"/>
    <mergeCell ref="F33:F35"/>
    <mergeCell ref="F58:F59"/>
    <mergeCell ref="G58:H58"/>
    <mergeCell ref="A33:B35"/>
    <mergeCell ref="C33:C35"/>
    <mergeCell ref="D33:D35"/>
    <mergeCell ref="E33:E35"/>
    <mergeCell ref="E58:E59"/>
    <mergeCell ref="A7:B9"/>
    <mergeCell ref="C7:C9"/>
    <mergeCell ref="D7:D9"/>
    <mergeCell ref="E7:E9"/>
    <mergeCell ref="A29:B29"/>
    <mergeCell ref="A79:B79"/>
    <mergeCell ref="A55:B55"/>
    <mergeCell ref="A58:B59"/>
    <mergeCell ref="C58:C59"/>
    <mergeCell ref="D58:D59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9" firstPageNumber="49" orientation="portrait" useFirstPageNumber="1" r:id="rId1"/>
  <headerFooter>
    <oddHeader>&amp;C&amp;"Calibri,Tučné"&amp;12II. Rozpis rozpočtu</oddHeader>
    <oddFooter>&amp;C &amp;P</oddFooter>
  </headerFooter>
  <rowBreaks count="1" manualBreakCount="1">
    <brk id="55" max="7" man="1"/>
  </rowBreaks>
  <ignoredErrors>
    <ignoredError sqref="H73:H77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M110"/>
  <sheetViews>
    <sheetView zoomScaleNormal="100" workbookViewId="0">
      <selection activeCell="B76" sqref="B76"/>
    </sheetView>
  </sheetViews>
  <sheetFormatPr defaultRowHeight="15"/>
  <cols>
    <col min="1" max="1" width="4" style="4" customWidth="1"/>
    <col min="2" max="4" width="5.7109375" style="3" customWidth="1"/>
    <col min="5" max="5" width="36.7109375" style="3" customWidth="1"/>
    <col min="6" max="6" width="9.5703125" style="2" hidden="1" customWidth="1"/>
    <col min="7" max="8" width="9.85546875" style="2" hidden="1" customWidth="1"/>
    <col min="9" max="9" width="9.85546875" style="2" customWidth="1"/>
    <col min="10" max="10" width="9.85546875" style="2" hidden="1" customWidth="1"/>
    <col min="11" max="12" width="9.85546875" style="2" customWidth="1"/>
    <col min="13" max="16384" width="9.140625" style="1"/>
  </cols>
  <sheetData>
    <row r="1" spans="1:12" ht="15.75" customHeight="1"/>
    <row r="2" spans="1:12" ht="15.75" customHeight="1"/>
    <row r="3" spans="1:12" ht="15.75" customHeight="1" thickBot="1">
      <c r="F3" s="97" t="s">
        <v>121</v>
      </c>
    </row>
    <row r="4" spans="1:12" ht="15.75" customHeight="1" thickTop="1">
      <c r="B4" s="41"/>
      <c r="C4" s="40"/>
      <c r="D4" s="39"/>
      <c r="E4" s="38"/>
      <c r="F4" s="37" t="s">
        <v>47</v>
      </c>
      <c r="G4" s="1965" t="s">
        <v>46</v>
      </c>
      <c r="H4" s="1965" t="s">
        <v>45</v>
      </c>
      <c r="I4" s="1962" t="s">
        <v>44</v>
      </c>
      <c r="J4" s="1962" t="s">
        <v>43</v>
      </c>
      <c r="K4" s="1962" t="s">
        <v>1487</v>
      </c>
      <c r="L4" s="1971" t="s">
        <v>1488</v>
      </c>
    </row>
    <row r="5" spans="1:12" ht="15.75" customHeight="1">
      <c r="A5" s="4" t="s">
        <v>120</v>
      </c>
      <c r="B5" s="36" t="s">
        <v>42</v>
      </c>
      <c r="C5" s="35" t="s">
        <v>41</v>
      </c>
      <c r="D5" s="34" t="s">
        <v>40</v>
      </c>
      <c r="E5" s="33"/>
      <c r="F5" s="32" t="s">
        <v>39</v>
      </c>
      <c r="G5" s="1966"/>
      <c r="H5" s="1966"/>
      <c r="I5" s="1963"/>
      <c r="J5" s="1963"/>
      <c r="K5" s="1963"/>
      <c r="L5" s="1972"/>
    </row>
    <row r="6" spans="1:12" ht="15.75" customHeight="1" thickBot="1">
      <c r="B6" s="31"/>
      <c r="C6" s="30"/>
      <c r="D6" s="29"/>
      <c r="E6" s="28" t="s">
        <v>38</v>
      </c>
      <c r="F6" s="27" t="s">
        <v>37</v>
      </c>
      <c r="G6" s="1967"/>
      <c r="H6" s="1967"/>
      <c r="I6" s="1964"/>
      <c r="J6" s="1964"/>
      <c r="K6" s="1964"/>
      <c r="L6" s="1973"/>
    </row>
    <row r="7" spans="1:12" ht="15.75" customHeight="1" thickTop="1" thickBot="1">
      <c r="B7" s="87">
        <v>6112</v>
      </c>
      <c r="C7" s="86">
        <v>5021</v>
      </c>
      <c r="D7" s="85" t="s">
        <v>96</v>
      </c>
      <c r="E7" s="84" t="s">
        <v>119</v>
      </c>
      <c r="F7" s="83">
        <v>795</v>
      </c>
      <c r="G7" s="81">
        <v>895</v>
      </c>
      <c r="H7" s="82">
        <f t="shared" ref="H7:H13" si="0">G7</f>
        <v>895</v>
      </c>
      <c r="I7" s="81">
        <f>H7+205</f>
        <v>1100</v>
      </c>
      <c r="J7" s="81">
        <f>I7</f>
        <v>1100</v>
      </c>
      <c r="K7" s="81">
        <v>1100</v>
      </c>
      <c r="L7" s="1381">
        <v>1100</v>
      </c>
    </row>
    <row r="8" spans="1:12" ht="15.75" customHeight="1" thickBot="1">
      <c r="B8" s="80">
        <v>6112</v>
      </c>
      <c r="C8" s="60">
        <v>5023</v>
      </c>
      <c r="D8" s="61" t="s">
        <v>96</v>
      </c>
      <c r="E8" s="59" t="s">
        <v>118</v>
      </c>
      <c r="F8" s="79">
        <v>4850</v>
      </c>
      <c r="G8" s="77">
        <v>4850</v>
      </c>
      <c r="H8" s="78">
        <f t="shared" si="0"/>
        <v>4850</v>
      </c>
      <c r="I8" s="77">
        <f>H8</f>
        <v>4850</v>
      </c>
      <c r="J8" s="77">
        <f>I8</f>
        <v>4850</v>
      </c>
      <c r="K8" s="77">
        <v>5900</v>
      </c>
      <c r="L8" s="1382">
        <v>5900</v>
      </c>
    </row>
    <row r="9" spans="1:12" ht="15.75" customHeight="1" thickBot="1">
      <c r="B9" s="80">
        <v>6112</v>
      </c>
      <c r="C9" s="60">
        <v>5031</v>
      </c>
      <c r="D9" s="61" t="s">
        <v>96</v>
      </c>
      <c r="E9" s="59" t="s">
        <v>102</v>
      </c>
      <c r="F9" s="79">
        <v>1090</v>
      </c>
      <c r="G9" s="77">
        <v>1090</v>
      </c>
      <c r="H9" s="78">
        <f t="shared" si="0"/>
        <v>1090</v>
      </c>
      <c r="I9" s="77">
        <v>800</v>
      </c>
      <c r="J9" s="77">
        <v>800</v>
      </c>
      <c r="K9" s="77">
        <v>800</v>
      </c>
      <c r="L9" s="1382">
        <v>800</v>
      </c>
    </row>
    <row r="10" spans="1:12" ht="15.75" customHeight="1" thickBot="1">
      <c r="B10" s="80">
        <v>6112</v>
      </c>
      <c r="C10" s="60">
        <v>5032</v>
      </c>
      <c r="D10" s="61" t="s">
        <v>96</v>
      </c>
      <c r="E10" s="59" t="s">
        <v>117</v>
      </c>
      <c r="F10" s="79">
        <v>495</v>
      </c>
      <c r="G10" s="77">
        <v>495</v>
      </c>
      <c r="H10" s="78">
        <f t="shared" si="0"/>
        <v>495</v>
      </c>
      <c r="I10" s="77">
        <f>H10</f>
        <v>495</v>
      </c>
      <c r="J10" s="77">
        <f>I10</f>
        <v>495</v>
      </c>
      <c r="K10" s="77">
        <v>495</v>
      </c>
      <c r="L10" s="1382">
        <v>495</v>
      </c>
    </row>
    <row r="11" spans="1:12" ht="15.75" customHeight="1" thickBot="1">
      <c r="B11" s="80">
        <v>6112</v>
      </c>
      <c r="C11" s="60">
        <v>5424</v>
      </c>
      <c r="D11" s="61" t="s">
        <v>96</v>
      </c>
      <c r="E11" s="59" t="s">
        <v>95</v>
      </c>
      <c r="F11" s="79">
        <v>20</v>
      </c>
      <c r="G11" s="96">
        <v>20</v>
      </c>
      <c r="H11" s="78">
        <f t="shared" si="0"/>
        <v>20</v>
      </c>
      <c r="I11" s="96">
        <f>H11</f>
        <v>20</v>
      </c>
      <c r="J11" s="96">
        <f>I11</f>
        <v>20</v>
      </c>
      <c r="K11" s="96">
        <v>20</v>
      </c>
      <c r="L11" s="1383">
        <v>20</v>
      </c>
    </row>
    <row r="12" spans="1:12" ht="15.75" customHeight="1" thickBot="1">
      <c r="B12" s="80">
        <v>6112</v>
      </c>
      <c r="C12" s="60">
        <v>5173</v>
      </c>
      <c r="D12" s="61" t="s">
        <v>96</v>
      </c>
      <c r="E12" s="59" t="s">
        <v>116</v>
      </c>
      <c r="F12" s="79">
        <v>200</v>
      </c>
      <c r="G12" s="77">
        <v>200</v>
      </c>
      <c r="H12" s="78">
        <f t="shared" si="0"/>
        <v>200</v>
      </c>
      <c r="I12" s="77">
        <v>100</v>
      </c>
      <c r="J12" s="77">
        <v>100</v>
      </c>
      <c r="K12" s="77">
        <v>30</v>
      </c>
      <c r="L12" s="1382">
        <v>30</v>
      </c>
    </row>
    <row r="13" spans="1:12" ht="15.75" customHeight="1" thickBot="1">
      <c r="B13" s="80">
        <v>6112</v>
      </c>
      <c r="C13" s="60">
        <v>5179</v>
      </c>
      <c r="D13" s="61" t="s">
        <v>96</v>
      </c>
      <c r="E13" s="59" t="s">
        <v>115</v>
      </c>
      <c r="F13" s="79">
        <v>80</v>
      </c>
      <c r="G13" s="77">
        <v>80</v>
      </c>
      <c r="H13" s="78">
        <f t="shared" si="0"/>
        <v>80</v>
      </c>
      <c r="I13" s="77">
        <f>H13</f>
        <v>80</v>
      </c>
      <c r="J13" s="77">
        <f>I13</f>
        <v>80</v>
      </c>
      <c r="K13" s="77">
        <v>80</v>
      </c>
      <c r="L13" s="1382">
        <v>80</v>
      </c>
    </row>
    <row r="14" spans="1:12" ht="15.75" customHeight="1" thickBot="1">
      <c r="A14" s="4">
        <v>501</v>
      </c>
      <c r="B14" s="1960" t="s">
        <v>114</v>
      </c>
      <c r="C14" s="1961"/>
      <c r="D14" s="1961"/>
      <c r="E14" s="1961"/>
      <c r="F14" s="55">
        <f t="shared" ref="F14:L14" si="1">SUM(F7:F13)</f>
        <v>7530</v>
      </c>
      <c r="G14" s="54">
        <f t="shared" si="1"/>
        <v>7630</v>
      </c>
      <c r="H14" s="54">
        <f t="shared" si="1"/>
        <v>7630</v>
      </c>
      <c r="I14" s="54">
        <f t="shared" si="1"/>
        <v>7445</v>
      </c>
      <c r="J14" s="54">
        <f t="shared" si="1"/>
        <v>7445</v>
      </c>
      <c r="K14" s="54">
        <f t="shared" si="1"/>
        <v>8425</v>
      </c>
      <c r="L14" s="1466">
        <f t="shared" si="1"/>
        <v>8425</v>
      </c>
    </row>
    <row r="15" spans="1:12" ht="15.75" customHeight="1" thickTop="1" thickBot="1">
      <c r="B15" s="87">
        <v>6171</v>
      </c>
      <c r="C15" s="86">
        <v>5011</v>
      </c>
      <c r="D15" s="85" t="s">
        <v>96</v>
      </c>
      <c r="E15" s="84" t="s">
        <v>103</v>
      </c>
      <c r="F15" s="83">
        <v>91757.020999999993</v>
      </c>
      <c r="G15" s="82">
        <v>88000</v>
      </c>
      <c r="H15" s="82">
        <f>G15-12.098-46.534</f>
        <v>87941.368000000002</v>
      </c>
      <c r="I15" s="82">
        <v>88000</v>
      </c>
      <c r="J15" s="82">
        <f>88000-16.722+2080</f>
        <v>90063.278000000006</v>
      </c>
      <c r="K15" s="82">
        <v>93600</v>
      </c>
      <c r="L15" s="1381">
        <v>93600</v>
      </c>
    </row>
    <row r="16" spans="1:12" ht="15.75" customHeight="1" thickBot="1">
      <c r="B16" s="80">
        <v>6171</v>
      </c>
      <c r="C16" s="60">
        <v>5021</v>
      </c>
      <c r="D16" s="61" t="s">
        <v>96</v>
      </c>
      <c r="E16" s="59" t="s">
        <v>113</v>
      </c>
      <c r="F16" s="79">
        <v>1400</v>
      </c>
      <c r="G16" s="78">
        <v>1500</v>
      </c>
      <c r="H16" s="78">
        <f>G16</f>
        <v>1500</v>
      </c>
      <c r="I16" s="78">
        <v>1500</v>
      </c>
      <c r="J16" s="78">
        <v>1500</v>
      </c>
      <c r="K16" s="78">
        <v>1900</v>
      </c>
      <c r="L16" s="1382">
        <v>1900</v>
      </c>
    </row>
    <row r="17" spans="1:12" ht="15.75" customHeight="1" thickBot="1">
      <c r="B17" s="80">
        <v>6171</v>
      </c>
      <c r="C17" s="60">
        <v>5024</v>
      </c>
      <c r="D17" s="61" t="s">
        <v>96</v>
      </c>
      <c r="E17" s="59" t="s">
        <v>112</v>
      </c>
      <c r="F17" s="79">
        <v>1182.979</v>
      </c>
      <c r="G17" s="78">
        <v>0</v>
      </c>
      <c r="H17" s="78">
        <f>G17+46.534</f>
        <v>46.533999999999999</v>
      </c>
      <c r="I17" s="78">
        <v>50</v>
      </c>
      <c r="J17" s="78">
        <v>50</v>
      </c>
      <c r="K17" s="78">
        <v>50</v>
      </c>
      <c r="L17" s="1382">
        <v>50</v>
      </c>
    </row>
    <row r="18" spans="1:12" ht="15.75" customHeight="1" thickBot="1">
      <c r="B18" s="80">
        <v>6171</v>
      </c>
      <c r="C18" s="60">
        <v>5031</v>
      </c>
      <c r="D18" s="61" t="s">
        <v>96</v>
      </c>
      <c r="E18" s="59" t="s">
        <v>102</v>
      </c>
      <c r="F18" s="79">
        <v>23550</v>
      </c>
      <c r="G18" s="78">
        <v>22740</v>
      </c>
      <c r="H18" s="78">
        <f>G18</f>
        <v>22740</v>
      </c>
      <c r="I18" s="78">
        <v>22740</v>
      </c>
      <c r="J18" s="78">
        <f>22740+520</f>
        <v>23260</v>
      </c>
      <c r="K18" s="78">
        <v>23895</v>
      </c>
      <c r="L18" s="1382">
        <v>23895</v>
      </c>
    </row>
    <row r="19" spans="1:12" ht="15.75" customHeight="1" thickBot="1">
      <c r="B19" s="80">
        <v>6171</v>
      </c>
      <c r="C19" s="60">
        <v>5032</v>
      </c>
      <c r="D19" s="61" t="s">
        <v>96</v>
      </c>
      <c r="E19" s="59" t="s">
        <v>101</v>
      </c>
      <c r="F19" s="79">
        <v>8590</v>
      </c>
      <c r="G19" s="78">
        <v>8160</v>
      </c>
      <c r="H19" s="78">
        <f>G19</f>
        <v>8160</v>
      </c>
      <c r="I19" s="78">
        <v>8160</v>
      </c>
      <c r="J19" s="78">
        <f>8160+200</f>
        <v>8360</v>
      </c>
      <c r="K19" s="78">
        <v>8600</v>
      </c>
      <c r="L19" s="1382">
        <v>8600</v>
      </c>
    </row>
    <row r="20" spans="1:12" ht="15.75" customHeight="1" thickBot="1">
      <c r="B20" s="80">
        <v>6171</v>
      </c>
      <c r="C20" s="60">
        <v>5424</v>
      </c>
      <c r="D20" s="61" t="s">
        <v>96</v>
      </c>
      <c r="E20" s="59" t="s">
        <v>95</v>
      </c>
      <c r="F20" s="79">
        <v>300</v>
      </c>
      <c r="G20" s="78">
        <v>300</v>
      </c>
      <c r="H20" s="78">
        <f>G20</f>
        <v>300</v>
      </c>
      <c r="I20" s="78">
        <v>400</v>
      </c>
      <c r="J20" s="78">
        <v>400</v>
      </c>
      <c r="K20" s="78">
        <v>400</v>
      </c>
      <c r="L20" s="1382">
        <v>400</v>
      </c>
    </row>
    <row r="21" spans="1:12" ht="15.75" customHeight="1" thickBot="1">
      <c r="B21" s="80">
        <v>6171</v>
      </c>
      <c r="C21" s="60">
        <v>5038</v>
      </c>
      <c r="D21" s="61" t="s">
        <v>96</v>
      </c>
      <c r="E21" s="59" t="s">
        <v>111</v>
      </c>
      <c r="F21" s="79">
        <v>640</v>
      </c>
      <c r="G21" s="78">
        <v>640</v>
      </c>
      <c r="H21" s="78">
        <f>G21</f>
        <v>640</v>
      </c>
      <c r="I21" s="78">
        <v>640</v>
      </c>
      <c r="J21" s="78">
        <v>640</v>
      </c>
      <c r="K21" s="78">
        <v>640</v>
      </c>
      <c r="L21" s="1382">
        <v>640</v>
      </c>
    </row>
    <row r="22" spans="1:12" ht="15.75" customHeight="1" thickBot="1">
      <c r="B22" s="80">
        <v>6171</v>
      </c>
      <c r="C22" s="60">
        <v>5167</v>
      </c>
      <c r="D22" s="61" t="s">
        <v>96</v>
      </c>
      <c r="E22" s="59" t="s">
        <v>106</v>
      </c>
      <c r="F22" s="79">
        <v>1000</v>
      </c>
      <c r="G22" s="78">
        <v>1000</v>
      </c>
      <c r="H22" s="78">
        <f>G22-50</f>
        <v>950</v>
      </c>
      <c r="I22" s="78">
        <v>850</v>
      </c>
      <c r="J22" s="78">
        <v>850</v>
      </c>
      <c r="K22" s="78">
        <v>880</v>
      </c>
      <c r="L22" s="1382">
        <v>880</v>
      </c>
    </row>
    <row r="23" spans="1:12" ht="15.75" customHeight="1" thickBot="1">
      <c r="B23" s="76">
        <v>6171</v>
      </c>
      <c r="C23" s="75">
        <v>5176</v>
      </c>
      <c r="D23" s="74" t="s">
        <v>96</v>
      </c>
      <c r="E23" s="73" t="s">
        <v>110</v>
      </c>
      <c r="F23" s="79"/>
      <c r="G23" s="78"/>
      <c r="H23" s="78"/>
      <c r="I23" s="78">
        <v>0</v>
      </c>
      <c r="J23" s="78">
        <v>0</v>
      </c>
      <c r="K23" s="78">
        <v>70</v>
      </c>
      <c r="L23" s="1382">
        <v>70</v>
      </c>
    </row>
    <row r="24" spans="1:12" ht="15.75" customHeight="1" thickBot="1">
      <c r="B24" s="76">
        <v>6171</v>
      </c>
      <c r="C24" s="75">
        <v>5179</v>
      </c>
      <c r="D24" s="74" t="s">
        <v>96</v>
      </c>
      <c r="E24" s="73" t="s">
        <v>109</v>
      </c>
      <c r="F24" s="79">
        <v>60</v>
      </c>
      <c r="G24" s="78">
        <v>60</v>
      </c>
      <c r="H24" s="78">
        <f>G24</f>
        <v>60</v>
      </c>
      <c r="I24" s="78">
        <v>60</v>
      </c>
      <c r="J24" s="78">
        <v>60</v>
      </c>
      <c r="K24" s="78">
        <v>60</v>
      </c>
      <c r="L24" s="1382">
        <v>60</v>
      </c>
    </row>
    <row r="25" spans="1:12" ht="15.75" customHeight="1" thickBot="1">
      <c r="B25" s="80">
        <v>6171</v>
      </c>
      <c r="C25" s="60">
        <v>5195</v>
      </c>
      <c r="D25" s="137">
        <v>1002</v>
      </c>
      <c r="E25" s="59" t="s">
        <v>108</v>
      </c>
      <c r="F25" s="79">
        <v>169.68299999999999</v>
      </c>
      <c r="G25" s="78">
        <v>170</v>
      </c>
      <c r="H25" s="78">
        <f>G25+12.098</f>
        <v>182.09800000000001</v>
      </c>
      <c r="I25" s="78">
        <v>170</v>
      </c>
      <c r="J25" s="78">
        <f>170+16.722</f>
        <v>186.72200000000001</v>
      </c>
      <c r="K25" s="78">
        <v>200</v>
      </c>
      <c r="L25" s="1382">
        <v>200</v>
      </c>
    </row>
    <row r="26" spans="1:12" ht="15.75" customHeight="1" thickBot="1">
      <c r="A26" s="4">
        <v>511</v>
      </c>
      <c r="B26" s="1960" t="s">
        <v>107</v>
      </c>
      <c r="C26" s="1961"/>
      <c r="D26" s="1961"/>
      <c r="E26" s="1961"/>
      <c r="F26" s="55">
        <f>SUM(F15:F24)</f>
        <v>128480</v>
      </c>
      <c r="G26" s="88">
        <f t="shared" ref="G26:L26" si="2">SUM(G15:G25)</f>
        <v>122570</v>
      </c>
      <c r="H26" s="88">
        <f t="shared" si="2"/>
        <v>122520</v>
      </c>
      <c r="I26" s="88">
        <f t="shared" si="2"/>
        <v>122570</v>
      </c>
      <c r="J26" s="88">
        <f t="shared" si="2"/>
        <v>125370</v>
      </c>
      <c r="K26" s="88">
        <f t="shared" si="2"/>
        <v>130295</v>
      </c>
      <c r="L26" s="1362">
        <f t="shared" si="2"/>
        <v>130295</v>
      </c>
    </row>
    <row r="27" spans="1:12" ht="15.75" hidden="1" customHeight="1" thickTop="1" thickBot="1">
      <c r="B27" s="87">
        <v>6171</v>
      </c>
      <c r="C27" s="86">
        <v>5011</v>
      </c>
      <c r="D27" s="85" t="s">
        <v>96</v>
      </c>
      <c r="E27" s="84" t="s">
        <v>103</v>
      </c>
      <c r="F27" s="83"/>
      <c r="G27" s="93" t="s">
        <v>105</v>
      </c>
      <c r="H27" s="82"/>
      <c r="I27" s="94">
        <v>0</v>
      </c>
      <c r="J27" s="93">
        <v>2650</v>
      </c>
      <c r="K27" s="93">
        <v>0</v>
      </c>
      <c r="L27" s="1497"/>
    </row>
    <row r="28" spans="1:12" ht="15.75" hidden="1" customHeight="1" thickBot="1">
      <c r="B28" s="80">
        <v>6171</v>
      </c>
      <c r="C28" s="60">
        <v>5031</v>
      </c>
      <c r="D28" s="61" t="s">
        <v>96</v>
      </c>
      <c r="E28" s="59" t="s">
        <v>102</v>
      </c>
      <c r="F28" s="79"/>
      <c r="G28" s="91" t="s">
        <v>105</v>
      </c>
      <c r="H28" s="78"/>
      <c r="I28" s="92">
        <v>0</v>
      </c>
      <c r="J28" s="91">
        <v>700</v>
      </c>
      <c r="K28" s="91">
        <v>0</v>
      </c>
      <c r="L28" s="1498"/>
    </row>
    <row r="29" spans="1:12" ht="15.75" hidden="1" customHeight="1" thickBot="1">
      <c r="B29" s="80">
        <v>6171</v>
      </c>
      <c r="C29" s="60">
        <v>5032</v>
      </c>
      <c r="D29" s="61" t="s">
        <v>96</v>
      </c>
      <c r="E29" s="59" t="s">
        <v>101</v>
      </c>
      <c r="F29" s="79"/>
      <c r="G29" s="91" t="s">
        <v>105</v>
      </c>
      <c r="H29" s="78"/>
      <c r="I29" s="92">
        <v>0</v>
      </c>
      <c r="J29" s="91">
        <v>250</v>
      </c>
      <c r="K29" s="91">
        <v>0</v>
      </c>
      <c r="L29" s="1498"/>
    </row>
    <row r="30" spans="1:12" ht="15.75" hidden="1" customHeight="1" thickBot="1">
      <c r="B30" s="80">
        <v>6171</v>
      </c>
      <c r="C30" s="60">
        <v>5167</v>
      </c>
      <c r="D30" s="61" t="s">
        <v>96</v>
      </c>
      <c r="E30" s="59" t="s">
        <v>106</v>
      </c>
      <c r="F30" s="72"/>
      <c r="G30" s="89" t="s">
        <v>105</v>
      </c>
      <c r="H30" s="71"/>
      <c r="I30" s="90">
        <v>0</v>
      </c>
      <c r="J30" s="89">
        <v>30</v>
      </c>
      <c r="K30" s="89">
        <v>0</v>
      </c>
      <c r="L30" s="1499"/>
    </row>
    <row r="31" spans="1:12" ht="15.75" hidden="1" customHeight="1" thickBot="1">
      <c r="B31" s="80">
        <v>6171</v>
      </c>
      <c r="C31" s="60">
        <v>5424</v>
      </c>
      <c r="D31" s="61" t="s">
        <v>96</v>
      </c>
      <c r="E31" s="59" t="s">
        <v>95</v>
      </c>
      <c r="F31" s="72"/>
      <c r="G31" s="89" t="s">
        <v>105</v>
      </c>
      <c r="H31" s="71"/>
      <c r="I31" s="90">
        <v>0</v>
      </c>
      <c r="J31" s="89">
        <v>20</v>
      </c>
      <c r="K31" s="89">
        <v>0</v>
      </c>
      <c r="L31" s="1499"/>
    </row>
    <row r="32" spans="1:12" ht="15.75" customHeight="1" thickTop="1" thickBot="1">
      <c r="A32" s="4">
        <v>512</v>
      </c>
      <c r="B32" s="1960" t="s">
        <v>104</v>
      </c>
      <c r="C32" s="1961"/>
      <c r="D32" s="1961"/>
      <c r="E32" s="1961"/>
      <c r="F32" s="55">
        <v>1935</v>
      </c>
      <c r="G32" s="88">
        <v>0</v>
      </c>
      <c r="H32" s="88">
        <v>3865</v>
      </c>
      <c r="I32" s="88">
        <v>0</v>
      </c>
      <c r="J32" s="88">
        <f>SUM(J27:J31)</f>
        <v>3650</v>
      </c>
      <c r="K32" s="88">
        <v>0</v>
      </c>
      <c r="L32" s="1362">
        <v>0</v>
      </c>
    </row>
    <row r="33" spans="1:13" ht="15.75" hidden="1" customHeight="1" thickTop="1" thickBot="1">
      <c r="B33" s="87">
        <v>6171</v>
      </c>
      <c r="C33" s="86">
        <v>5011</v>
      </c>
      <c r="D33" s="85" t="s">
        <v>96</v>
      </c>
      <c r="E33" s="84" t="s">
        <v>103</v>
      </c>
      <c r="F33" s="83"/>
      <c r="G33" s="82">
        <v>0</v>
      </c>
      <c r="H33" s="82"/>
      <c r="I33" s="82">
        <v>0</v>
      </c>
      <c r="J33" s="82">
        <v>179</v>
      </c>
      <c r="K33" s="82">
        <v>0</v>
      </c>
      <c r="L33" s="1381">
        <v>0</v>
      </c>
    </row>
    <row r="34" spans="1:13" ht="15.75" hidden="1" customHeight="1" thickBot="1">
      <c r="B34" s="80">
        <v>6171</v>
      </c>
      <c r="C34" s="60">
        <v>5031</v>
      </c>
      <c r="D34" s="61" t="s">
        <v>96</v>
      </c>
      <c r="E34" s="59" t="s">
        <v>102</v>
      </c>
      <c r="F34" s="79"/>
      <c r="G34" s="78">
        <v>0</v>
      </c>
      <c r="H34" s="78"/>
      <c r="I34" s="78">
        <v>0</v>
      </c>
      <c r="J34" s="78">
        <v>44.8</v>
      </c>
      <c r="K34" s="78">
        <v>0</v>
      </c>
      <c r="L34" s="1382">
        <v>0</v>
      </c>
    </row>
    <row r="35" spans="1:13" ht="15.75" hidden="1" customHeight="1" thickBot="1">
      <c r="B35" s="76">
        <v>6171</v>
      </c>
      <c r="C35" s="75">
        <v>5032</v>
      </c>
      <c r="D35" s="74" t="s">
        <v>96</v>
      </c>
      <c r="E35" s="73" t="s">
        <v>101</v>
      </c>
      <c r="F35" s="72"/>
      <c r="G35" s="71">
        <v>0</v>
      </c>
      <c r="H35" s="71"/>
      <c r="I35" s="71">
        <v>0</v>
      </c>
      <c r="J35" s="71">
        <v>16.2</v>
      </c>
      <c r="K35" s="71">
        <v>0</v>
      </c>
      <c r="L35" s="1500">
        <v>0</v>
      </c>
    </row>
    <row r="36" spans="1:13" ht="15.75" customHeight="1" thickTop="1" thickBot="1">
      <c r="A36" s="4">
        <v>514</v>
      </c>
      <c r="B36" s="1968" t="s">
        <v>171</v>
      </c>
      <c r="C36" s="1969"/>
      <c r="D36" s="1969"/>
      <c r="E36" s="1970"/>
      <c r="F36" s="7">
        <v>240</v>
      </c>
      <c r="G36" s="6">
        <f>SUM(G33:G35)</f>
        <v>0</v>
      </c>
      <c r="H36" s="6">
        <f>SUM(H33:H35)</f>
        <v>0</v>
      </c>
      <c r="I36" s="6">
        <f>SUM(I33:I35)</f>
        <v>0</v>
      </c>
      <c r="J36" s="6">
        <f>SUM(J33:J35)</f>
        <v>240</v>
      </c>
      <c r="K36" s="6">
        <v>0</v>
      </c>
      <c r="L36" s="45">
        <v>0</v>
      </c>
    </row>
    <row r="37" spans="1:13" ht="15.75" hidden="1" customHeight="1" thickTop="1" thickBot="1">
      <c r="B37" s="87">
        <v>6171</v>
      </c>
      <c r="C37" s="86">
        <v>5011</v>
      </c>
      <c r="D37" s="85" t="s">
        <v>96</v>
      </c>
      <c r="E37" s="84" t="s">
        <v>99</v>
      </c>
      <c r="F37" s="83"/>
      <c r="G37" s="82">
        <v>0</v>
      </c>
      <c r="H37" s="82"/>
      <c r="I37" s="82">
        <v>0</v>
      </c>
      <c r="J37" s="82">
        <v>48.923000000000002</v>
      </c>
      <c r="K37" s="82">
        <v>0</v>
      </c>
      <c r="L37" s="1381">
        <v>0</v>
      </c>
    </row>
    <row r="38" spans="1:13" ht="15.75" hidden="1" customHeight="1" thickBot="1">
      <c r="B38" s="80">
        <v>6171</v>
      </c>
      <c r="C38" s="60">
        <v>5031</v>
      </c>
      <c r="D38" s="61" t="s">
        <v>96</v>
      </c>
      <c r="E38" s="59" t="s">
        <v>98</v>
      </c>
      <c r="F38" s="79"/>
      <c r="G38" s="78">
        <v>0</v>
      </c>
      <c r="H38" s="78"/>
      <c r="I38" s="78">
        <v>0</v>
      </c>
      <c r="J38" s="78">
        <v>12.23025</v>
      </c>
      <c r="K38" s="78">
        <v>0</v>
      </c>
      <c r="L38" s="1382">
        <v>0</v>
      </c>
    </row>
    <row r="39" spans="1:13" ht="15.75" hidden="1" customHeight="1" thickBot="1">
      <c r="B39" s="76">
        <v>6171</v>
      </c>
      <c r="C39" s="75">
        <v>5032</v>
      </c>
      <c r="D39" s="74" t="s">
        <v>96</v>
      </c>
      <c r="E39" s="73" t="s">
        <v>97</v>
      </c>
      <c r="F39" s="72"/>
      <c r="G39" s="71">
        <v>0</v>
      </c>
      <c r="H39" s="71"/>
      <c r="I39" s="71">
        <v>0</v>
      </c>
      <c r="J39" s="71">
        <v>4.4020000000000001</v>
      </c>
      <c r="K39" s="71">
        <v>0</v>
      </c>
      <c r="L39" s="1500">
        <v>0</v>
      </c>
    </row>
    <row r="40" spans="1:13" ht="15.75" customHeight="1" thickTop="1" thickBot="1">
      <c r="B40" s="1968" t="s">
        <v>100</v>
      </c>
      <c r="C40" s="1969"/>
      <c r="D40" s="1969"/>
      <c r="E40" s="1970"/>
      <c r="F40" s="7" t="e">
        <f>SUM(#REF!)</f>
        <v>#REF!</v>
      </c>
      <c r="G40" s="6">
        <v>0</v>
      </c>
      <c r="H40" s="6">
        <v>79</v>
      </c>
      <c r="I40" s="6">
        <v>0</v>
      </c>
      <c r="J40" s="6">
        <f>SUM(J37:J39)</f>
        <v>65.555250000000001</v>
      </c>
      <c r="K40" s="6">
        <v>0</v>
      </c>
      <c r="L40" s="45">
        <v>0</v>
      </c>
    </row>
    <row r="41" spans="1:13" ht="15.75" hidden="1" customHeight="1" thickTop="1" thickBot="1">
      <c r="B41" s="87">
        <v>6171</v>
      </c>
      <c r="C41" s="86">
        <v>5011</v>
      </c>
      <c r="D41" s="85" t="s">
        <v>96</v>
      </c>
      <c r="E41" s="84" t="s">
        <v>99</v>
      </c>
      <c r="F41" s="83"/>
      <c r="G41" s="82">
        <v>0</v>
      </c>
      <c r="H41" s="82"/>
      <c r="I41" s="82">
        <v>0</v>
      </c>
      <c r="J41" s="82">
        <f>55.703+48.699</f>
        <v>104.402</v>
      </c>
      <c r="K41" s="82">
        <v>0</v>
      </c>
      <c r="L41" s="1381">
        <v>0</v>
      </c>
    </row>
    <row r="42" spans="1:13" ht="15.75" hidden="1" customHeight="1" thickBot="1">
      <c r="B42" s="80">
        <v>6171</v>
      </c>
      <c r="C42" s="60">
        <v>5031</v>
      </c>
      <c r="D42" s="61" t="s">
        <v>96</v>
      </c>
      <c r="E42" s="59" t="s">
        <v>98</v>
      </c>
      <c r="F42" s="79"/>
      <c r="G42" s="78">
        <v>0</v>
      </c>
      <c r="H42" s="78"/>
      <c r="I42" s="78">
        <v>0</v>
      </c>
      <c r="J42" s="78">
        <f>13.9265+12.46225</f>
        <v>26.388750000000002</v>
      </c>
      <c r="K42" s="78">
        <v>0</v>
      </c>
      <c r="L42" s="1382">
        <v>0</v>
      </c>
    </row>
    <row r="43" spans="1:13" ht="15.75" hidden="1" customHeight="1" thickBot="1">
      <c r="B43" s="76">
        <v>6171</v>
      </c>
      <c r="C43" s="75">
        <v>5032</v>
      </c>
      <c r="D43" s="74" t="s">
        <v>96</v>
      </c>
      <c r="E43" s="73" t="s">
        <v>97</v>
      </c>
      <c r="F43" s="72"/>
      <c r="G43" s="71">
        <v>0</v>
      </c>
      <c r="H43" s="71"/>
      <c r="I43" s="71">
        <v>0</v>
      </c>
      <c r="J43" s="71">
        <f>5.013+4.487</f>
        <v>9.5</v>
      </c>
      <c r="K43" s="71">
        <v>0</v>
      </c>
      <c r="L43" s="1500">
        <v>0</v>
      </c>
    </row>
    <row r="44" spans="1:13" ht="15.75" hidden="1" customHeight="1" thickBot="1">
      <c r="B44" s="76">
        <v>6171</v>
      </c>
      <c r="C44" s="75">
        <v>5424</v>
      </c>
      <c r="D44" s="74" t="s">
        <v>96</v>
      </c>
      <c r="E44" s="73" t="s">
        <v>95</v>
      </c>
      <c r="F44" s="72"/>
      <c r="G44" s="71">
        <v>0</v>
      </c>
      <c r="H44" s="71"/>
      <c r="I44" s="71">
        <v>0</v>
      </c>
      <c r="J44" s="71">
        <v>4.3310000000000004</v>
      </c>
      <c r="K44" s="71">
        <v>0</v>
      </c>
      <c r="L44" s="1500">
        <v>0</v>
      </c>
    </row>
    <row r="45" spans="1:13" ht="15.75" customHeight="1" thickTop="1" thickBot="1">
      <c r="A45" s="4">
        <v>518</v>
      </c>
      <c r="B45" s="1968" t="s">
        <v>94</v>
      </c>
      <c r="C45" s="1969"/>
      <c r="D45" s="1969"/>
      <c r="E45" s="1970"/>
      <c r="F45" s="7" t="e">
        <f>SUM(#REF!)</f>
        <v>#REF!</v>
      </c>
      <c r="G45" s="6">
        <f>SUM(G41:G44)</f>
        <v>0</v>
      </c>
      <c r="H45" s="6">
        <f>SUM(H41:H44)</f>
        <v>0</v>
      </c>
      <c r="I45" s="6">
        <f>SUM(I41:I44)</f>
        <v>0</v>
      </c>
      <c r="J45" s="6">
        <f>SUM(J41:J44)</f>
        <v>144.62174999999999</v>
      </c>
      <c r="K45" s="6">
        <v>0</v>
      </c>
      <c r="L45" s="45">
        <v>0</v>
      </c>
    </row>
    <row r="46" spans="1:13" ht="15.75" customHeight="1" thickTop="1" thickBot="1">
      <c r="B46" s="62">
        <v>5512</v>
      </c>
      <c r="C46" s="61">
        <v>5038</v>
      </c>
      <c r="D46" s="60" t="s">
        <v>81</v>
      </c>
      <c r="E46" s="59" t="s">
        <v>93</v>
      </c>
      <c r="F46" s="69">
        <v>13</v>
      </c>
      <c r="G46" s="70">
        <v>13</v>
      </c>
      <c r="H46" s="70">
        <f>G46+8.5</f>
        <v>21.5</v>
      </c>
      <c r="I46" s="70">
        <v>13</v>
      </c>
      <c r="J46" s="70">
        <v>8</v>
      </c>
      <c r="K46" s="70">
        <v>8</v>
      </c>
      <c r="L46" s="1501">
        <v>8</v>
      </c>
      <c r="M46" s="68"/>
    </row>
    <row r="47" spans="1:13" ht="15.75" customHeight="1" thickBot="1">
      <c r="A47" s="1"/>
      <c r="B47" s="62">
        <v>5512</v>
      </c>
      <c r="C47" s="61" t="s">
        <v>79</v>
      </c>
      <c r="D47" s="60" t="s">
        <v>81</v>
      </c>
      <c r="E47" s="59" t="s">
        <v>92</v>
      </c>
      <c r="F47" s="69">
        <v>300</v>
      </c>
      <c r="G47" s="57">
        <v>145</v>
      </c>
      <c r="H47" s="57">
        <f>G47-8</f>
        <v>137</v>
      </c>
      <c r="I47" s="57">
        <v>30</v>
      </c>
      <c r="J47" s="57">
        <v>30</v>
      </c>
      <c r="K47" s="57">
        <v>28</v>
      </c>
      <c r="L47" s="1502">
        <v>28</v>
      </c>
      <c r="M47" s="66"/>
    </row>
    <row r="48" spans="1:13" ht="15.75" customHeight="1" thickBot="1">
      <c r="A48" s="1"/>
      <c r="B48" s="62">
        <v>5512</v>
      </c>
      <c r="C48" s="61">
        <v>5137</v>
      </c>
      <c r="D48" s="60" t="s">
        <v>81</v>
      </c>
      <c r="E48" s="59" t="s">
        <v>91</v>
      </c>
      <c r="F48" s="69">
        <v>90</v>
      </c>
      <c r="G48" s="57">
        <v>40</v>
      </c>
      <c r="H48" s="57">
        <f t="shared" ref="H48:H53" si="3">G48</f>
        <v>40</v>
      </c>
      <c r="I48" s="57">
        <v>155</v>
      </c>
      <c r="J48" s="57">
        <v>173</v>
      </c>
      <c r="K48" s="57">
        <v>145</v>
      </c>
      <c r="L48" s="1502">
        <v>145</v>
      </c>
      <c r="M48" s="66"/>
    </row>
    <row r="49" spans="1:13" ht="15.75" customHeight="1" thickBot="1">
      <c r="A49" s="1"/>
      <c r="B49" s="62">
        <v>5512</v>
      </c>
      <c r="C49" s="61">
        <v>5139</v>
      </c>
      <c r="D49" s="60" t="s">
        <v>81</v>
      </c>
      <c r="E49" s="59" t="s">
        <v>90</v>
      </c>
      <c r="F49" s="69">
        <v>179</v>
      </c>
      <c r="G49" s="57">
        <v>32</v>
      </c>
      <c r="H49" s="57">
        <f t="shared" si="3"/>
        <v>32</v>
      </c>
      <c r="I49" s="57">
        <v>42</v>
      </c>
      <c r="J49" s="57">
        <v>42</v>
      </c>
      <c r="K49" s="57">
        <v>40</v>
      </c>
      <c r="L49" s="1502">
        <v>40</v>
      </c>
      <c r="M49" s="68"/>
    </row>
    <row r="50" spans="1:13" ht="15.75" customHeight="1" thickBot="1">
      <c r="A50" s="1"/>
      <c r="B50" s="62">
        <v>5512</v>
      </c>
      <c r="C50" s="61">
        <v>5151</v>
      </c>
      <c r="D50" s="60" t="s">
        <v>81</v>
      </c>
      <c r="E50" s="59" t="s">
        <v>89</v>
      </c>
      <c r="F50" s="69">
        <v>15</v>
      </c>
      <c r="G50" s="57">
        <v>15</v>
      </c>
      <c r="H50" s="57">
        <f t="shared" si="3"/>
        <v>15</v>
      </c>
      <c r="I50" s="57">
        <v>15</v>
      </c>
      <c r="J50" s="57">
        <v>15</v>
      </c>
      <c r="K50" s="57">
        <v>15</v>
      </c>
      <c r="L50" s="1502">
        <v>15</v>
      </c>
      <c r="M50" s="68"/>
    </row>
    <row r="51" spans="1:13" ht="15.75" customHeight="1" thickBot="1">
      <c r="A51" s="1"/>
      <c r="B51" s="62">
        <v>5512</v>
      </c>
      <c r="C51" s="61">
        <v>5153</v>
      </c>
      <c r="D51" s="60" t="s">
        <v>81</v>
      </c>
      <c r="E51" s="59" t="s">
        <v>88</v>
      </c>
      <c r="F51" s="69">
        <v>140</v>
      </c>
      <c r="G51" s="57">
        <v>140</v>
      </c>
      <c r="H51" s="57">
        <f t="shared" si="3"/>
        <v>140</v>
      </c>
      <c r="I51" s="57">
        <v>140</v>
      </c>
      <c r="J51" s="57">
        <v>140</v>
      </c>
      <c r="K51" s="57">
        <v>145</v>
      </c>
      <c r="L51" s="1502">
        <v>145</v>
      </c>
      <c r="M51" s="68"/>
    </row>
    <row r="52" spans="1:13" ht="15.75" customHeight="1" thickBot="1">
      <c r="A52" s="1"/>
      <c r="B52" s="62">
        <v>5512</v>
      </c>
      <c r="C52" s="61">
        <v>5154</v>
      </c>
      <c r="D52" s="60" t="s">
        <v>81</v>
      </c>
      <c r="E52" s="59" t="s">
        <v>87</v>
      </c>
      <c r="F52" s="69">
        <v>55</v>
      </c>
      <c r="G52" s="57">
        <v>55</v>
      </c>
      <c r="H52" s="57">
        <f t="shared" si="3"/>
        <v>55</v>
      </c>
      <c r="I52" s="57">
        <v>55</v>
      </c>
      <c r="J52" s="57">
        <v>55</v>
      </c>
      <c r="K52" s="57">
        <v>50</v>
      </c>
      <c r="L52" s="1502">
        <v>50</v>
      </c>
      <c r="M52" s="68"/>
    </row>
    <row r="53" spans="1:13" ht="15.75" customHeight="1" thickBot="1">
      <c r="A53" s="1"/>
      <c r="B53" s="62">
        <v>5512</v>
      </c>
      <c r="C53" s="61">
        <v>5156</v>
      </c>
      <c r="D53" s="60" t="s">
        <v>81</v>
      </c>
      <c r="E53" s="59" t="s">
        <v>86</v>
      </c>
      <c r="F53" s="69">
        <v>95</v>
      </c>
      <c r="G53" s="57">
        <v>95</v>
      </c>
      <c r="H53" s="57">
        <f t="shared" si="3"/>
        <v>95</v>
      </c>
      <c r="I53" s="57">
        <v>95</v>
      </c>
      <c r="J53" s="57">
        <v>95</v>
      </c>
      <c r="K53" s="57">
        <v>95</v>
      </c>
      <c r="L53" s="1502">
        <v>95</v>
      </c>
      <c r="M53" s="68"/>
    </row>
    <row r="54" spans="1:13" ht="15.75" customHeight="1" thickBot="1">
      <c r="A54" s="1"/>
      <c r="B54" s="62">
        <v>5512</v>
      </c>
      <c r="C54" s="61">
        <v>5162</v>
      </c>
      <c r="D54" s="60" t="s">
        <v>81</v>
      </c>
      <c r="E54" s="59" t="s">
        <v>62</v>
      </c>
      <c r="F54" s="69">
        <v>30</v>
      </c>
      <c r="G54" s="57">
        <v>30</v>
      </c>
      <c r="H54" s="57">
        <f>G54+16</f>
        <v>46</v>
      </c>
      <c r="I54" s="57">
        <v>45</v>
      </c>
      <c r="J54" s="57">
        <f>45+4+11.5</f>
        <v>60.5</v>
      </c>
      <c r="K54" s="57">
        <v>45</v>
      </c>
      <c r="L54" s="1502">
        <v>45</v>
      </c>
      <c r="M54" s="68"/>
    </row>
    <row r="55" spans="1:13" ht="15.75" customHeight="1" thickBot="1">
      <c r="A55" s="1"/>
      <c r="B55" s="62" t="s">
        <v>77</v>
      </c>
      <c r="C55" s="61" t="s">
        <v>85</v>
      </c>
      <c r="D55" s="60" t="s">
        <v>81</v>
      </c>
      <c r="E55" s="59" t="s">
        <v>84</v>
      </c>
      <c r="F55" s="69"/>
      <c r="G55" s="57">
        <v>0</v>
      </c>
      <c r="H55" s="57">
        <f>G55+16</f>
        <v>16</v>
      </c>
      <c r="I55" s="57">
        <v>0</v>
      </c>
      <c r="J55" s="57">
        <v>11.5</v>
      </c>
      <c r="K55" s="57">
        <v>10</v>
      </c>
      <c r="L55" s="1502">
        <v>10</v>
      </c>
      <c r="M55" s="68"/>
    </row>
    <row r="56" spans="1:13" ht="15.75" customHeight="1" thickBot="1">
      <c r="A56" s="1"/>
      <c r="B56" s="62">
        <v>5512</v>
      </c>
      <c r="C56" s="61">
        <v>5167</v>
      </c>
      <c r="D56" s="60" t="s">
        <v>81</v>
      </c>
      <c r="E56" s="59" t="s">
        <v>1449</v>
      </c>
      <c r="F56" s="69">
        <v>10</v>
      </c>
      <c r="G56" s="57">
        <v>5</v>
      </c>
      <c r="H56" s="57">
        <f>G56</f>
        <v>5</v>
      </c>
      <c r="I56" s="57">
        <v>5</v>
      </c>
      <c r="J56" s="57">
        <v>5</v>
      </c>
      <c r="K56" s="57">
        <v>5</v>
      </c>
      <c r="L56" s="1502">
        <v>5</v>
      </c>
      <c r="M56" s="66"/>
    </row>
    <row r="57" spans="1:13" ht="15.75" customHeight="1" thickBot="1">
      <c r="A57" s="1"/>
      <c r="B57" s="62">
        <v>5512</v>
      </c>
      <c r="C57" s="61">
        <v>5169</v>
      </c>
      <c r="D57" s="60" t="s">
        <v>81</v>
      </c>
      <c r="E57" s="59" t="s">
        <v>83</v>
      </c>
      <c r="F57" s="69">
        <v>55</v>
      </c>
      <c r="G57" s="57">
        <v>50</v>
      </c>
      <c r="H57" s="57">
        <f>G57-5</f>
        <v>45</v>
      </c>
      <c r="I57" s="57">
        <v>35</v>
      </c>
      <c r="J57" s="57">
        <v>35</v>
      </c>
      <c r="K57" s="57">
        <v>35</v>
      </c>
      <c r="L57" s="1502">
        <v>35</v>
      </c>
      <c r="M57" s="68"/>
    </row>
    <row r="58" spans="1:13" ht="15.75" customHeight="1" thickBot="1">
      <c r="A58" s="1"/>
      <c r="B58" s="62">
        <v>5512</v>
      </c>
      <c r="C58" s="61">
        <v>5171</v>
      </c>
      <c r="D58" s="60" t="s">
        <v>81</v>
      </c>
      <c r="E58" s="59" t="s">
        <v>53</v>
      </c>
      <c r="F58" s="69">
        <v>123</v>
      </c>
      <c r="G58" s="57">
        <v>120</v>
      </c>
      <c r="H58" s="57">
        <f>G58-8.5</f>
        <v>111.5</v>
      </c>
      <c r="I58" s="57">
        <v>105</v>
      </c>
      <c r="J58" s="57">
        <v>80.5</v>
      </c>
      <c r="K58" s="57">
        <v>100</v>
      </c>
      <c r="L58" s="1502">
        <v>100</v>
      </c>
      <c r="M58" s="68"/>
    </row>
    <row r="59" spans="1:13" ht="15.75" customHeight="1" thickBot="1">
      <c r="A59" s="1"/>
      <c r="B59" s="62" t="s">
        <v>77</v>
      </c>
      <c r="C59" s="61" t="s">
        <v>82</v>
      </c>
      <c r="D59" s="60" t="s">
        <v>81</v>
      </c>
      <c r="E59" s="59" t="s">
        <v>80</v>
      </c>
      <c r="F59" s="69">
        <v>0</v>
      </c>
      <c r="G59" s="57">
        <v>0</v>
      </c>
      <c r="H59" s="57">
        <v>5</v>
      </c>
      <c r="I59" s="57">
        <v>0</v>
      </c>
      <c r="J59" s="57">
        <v>0.5</v>
      </c>
      <c r="K59" s="57">
        <v>0</v>
      </c>
      <c r="L59" s="1502">
        <v>0</v>
      </c>
      <c r="M59" s="68"/>
    </row>
    <row r="60" spans="1:13" ht="15.75" customHeight="1" thickBot="1">
      <c r="A60" s="1"/>
      <c r="B60" s="62" t="s">
        <v>77</v>
      </c>
      <c r="C60" s="61" t="s">
        <v>79</v>
      </c>
      <c r="D60" s="60" t="s">
        <v>74</v>
      </c>
      <c r="E60" s="59" t="s">
        <v>78</v>
      </c>
      <c r="F60" s="69">
        <v>0</v>
      </c>
      <c r="G60" s="57">
        <v>145</v>
      </c>
      <c r="H60" s="57">
        <f>G60-8</f>
        <v>137</v>
      </c>
      <c r="I60" s="57">
        <v>30</v>
      </c>
      <c r="J60" s="57">
        <v>30</v>
      </c>
      <c r="K60" s="57">
        <v>28</v>
      </c>
      <c r="L60" s="1502">
        <v>28</v>
      </c>
      <c r="M60" s="68"/>
    </row>
    <row r="61" spans="1:13" ht="15.75" customHeight="1" thickBot="1">
      <c r="A61" s="1"/>
      <c r="B61" s="62" t="s">
        <v>77</v>
      </c>
      <c r="C61" s="61" t="s">
        <v>65</v>
      </c>
      <c r="D61" s="60" t="s">
        <v>74</v>
      </c>
      <c r="E61" s="59" t="s">
        <v>76</v>
      </c>
      <c r="F61" s="69">
        <v>0</v>
      </c>
      <c r="G61" s="57">
        <v>40</v>
      </c>
      <c r="H61" s="57">
        <f>G61</f>
        <v>40</v>
      </c>
      <c r="I61" s="57">
        <v>155</v>
      </c>
      <c r="J61" s="57">
        <v>155</v>
      </c>
      <c r="K61" s="57">
        <v>145</v>
      </c>
      <c r="L61" s="1502">
        <v>145</v>
      </c>
      <c r="M61" s="68"/>
    </row>
    <row r="62" spans="1:13" ht="15.75" customHeight="1" thickBot="1">
      <c r="A62" s="1"/>
      <c r="B62" s="62">
        <v>5512</v>
      </c>
      <c r="C62" s="61" t="s">
        <v>75</v>
      </c>
      <c r="D62" s="60" t="s">
        <v>74</v>
      </c>
      <c r="E62" s="59" t="s">
        <v>1450</v>
      </c>
      <c r="F62" s="69">
        <v>0</v>
      </c>
      <c r="G62" s="57">
        <v>5</v>
      </c>
      <c r="H62" s="57">
        <f>G62</f>
        <v>5</v>
      </c>
      <c r="I62" s="57">
        <v>5</v>
      </c>
      <c r="J62" s="57">
        <v>5</v>
      </c>
      <c r="K62" s="57">
        <v>5</v>
      </c>
      <c r="L62" s="1502">
        <v>5</v>
      </c>
      <c r="M62" s="68"/>
    </row>
    <row r="63" spans="1:13" ht="15.75" customHeight="1" thickTop="1" thickBot="1">
      <c r="A63" s="4">
        <v>531</v>
      </c>
      <c r="B63" s="1960" t="s">
        <v>73</v>
      </c>
      <c r="C63" s="1961"/>
      <c r="D63" s="1961"/>
      <c r="E63" s="1961"/>
      <c r="F63" s="67">
        <f t="shared" ref="F63:K63" si="4">SUM(F46:F62)</f>
        <v>1105</v>
      </c>
      <c r="G63" s="6">
        <f t="shared" si="4"/>
        <v>930</v>
      </c>
      <c r="H63" s="6">
        <f t="shared" si="4"/>
        <v>946</v>
      </c>
      <c r="I63" s="6">
        <f t="shared" si="4"/>
        <v>925</v>
      </c>
      <c r="J63" s="6">
        <f t="shared" si="4"/>
        <v>941</v>
      </c>
      <c r="K63" s="6">
        <f t="shared" si="4"/>
        <v>899</v>
      </c>
      <c r="L63" s="45">
        <f t="shared" ref="L63" si="5">SUM(L46:L62)</f>
        <v>899</v>
      </c>
      <c r="M63" s="66"/>
    </row>
    <row r="64" spans="1:13" ht="15.75" customHeight="1" thickTop="1" thickBot="1">
      <c r="A64" s="4">
        <v>551</v>
      </c>
      <c r="B64" s="26">
        <v>5511</v>
      </c>
      <c r="C64" s="25" t="s">
        <v>72</v>
      </c>
      <c r="D64" s="25" t="s">
        <v>34</v>
      </c>
      <c r="E64" s="24" t="s">
        <v>71</v>
      </c>
      <c r="F64" s="7">
        <v>405</v>
      </c>
      <c r="G64" s="6">
        <v>0</v>
      </c>
      <c r="H64" s="6">
        <f>G64+60</f>
        <v>60</v>
      </c>
      <c r="I64" s="6">
        <v>0</v>
      </c>
      <c r="J64" s="6">
        <v>150</v>
      </c>
      <c r="K64" s="6">
        <v>0</v>
      </c>
      <c r="L64" s="45">
        <v>0</v>
      </c>
      <c r="M64" s="66"/>
    </row>
    <row r="65" spans="1:13" ht="15.75" customHeight="1" thickTop="1" thickBot="1">
      <c r="B65" s="65">
        <v>5212</v>
      </c>
      <c r="C65" s="64">
        <v>5171</v>
      </c>
      <c r="D65" s="64" t="s">
        <v>61</v>
      </c>
      <c r="E65" s="63" t="s">
        <v>70</v>
      </c>
      <c r="F65" s="58">
        <v>15</v>
      </c>
      <c r="G65" s="57">
        <v>12</v>
      </c>
      <c r="H65" s="57">
        <f t="shared" ref="H65:H76" si="6">G65</f>
        <v>12</v>
      </c>
      <c r="I65" s="57">
        <v>6</v>
      </c>
      <c r="J65" s="57">
        <v>6</v>
      </c>
      <c r="K65" s="57">
        <v>4</v>
      </c>
      <c r="L65" s="1502">
        <v>4</v>
      </c>
      <c r="M65" s="66"/>
    </row>
    <row r="66" spans="1:13" ht="15.75" customHeight="1" thickBot="1">
      <c r="B66" s="65">
        <v>5212</v>
      </c>
      <c r="C66" s="64">
        <v>5156</v>
      </c>
      <c r="D66" s="64" t="s">
        <v>61</v>
      </c>
      <c r="E66" s="63" t="s">
        <v>69</v>
      </c>
      <c r="F66" s="58">
        <v>2</v>
      </c>
      <c r="G66" s="57">
        <v>2</v>
      </c>
      <c r="H66" s="57">
        <f t="shared" si="6"/>
        <v>2</v>
      </c>
      <c r="I66" s="57">
        <v>2</v>
      </c>
      <c r="J66" s="57">
        <v>2</v>
      </c>
      <c r="K66" s="57">
        <v>2</v>
      </c>
      <c r="L66" s="1502">
        <v>2</v>
      </c>
    </row>
    <row r="67" spans="1:13" ht="15.75" customHeight="1" thickBot="1">
      <c r="B67" s="65">
        <v>5273</v>
      </c>
      <c r="C67" s="64">
        <v>5132</v>
      </c>
      <c r="D67" s="64" t="s">
        <v>61</v>
      </c>
      <c r="E67" s="63" t="s">
        <v>68</v>
      </c>
      <c r="F67" s="58">
        <v>10</v>
      </c>
      <c r="G67" s="57">
        <v>10</v>
      </c>
      <c r="H67" s="57">
        <f t="shared" si="6"/>
        <v>10</v>
      </c>
      <c r="I67" s="57">
        <v>10</v>
      </c>
      <c r="J67" s="57">
        <v>10</v>
      </c>
      <c r="K67" s="57">
        <v>10</v>
      </c>
      <c r="L67" s="1502">
        <v>10</v>
      </c>
    </row>
    <row r="68" spans="1:13" ht="15.75" customHeight="1" thickBot="1">
      <c r="B68" s="65">
        <v>5273</v>
      </c>
      <c r="C68" s="64">
        <v>5136</v>
      </c>
      <c r="D68" s="64" t="s">
        <v>61</v>
      </c>
      <c r="E68" s="63" t="s">
        <v>67</v>
      </c>
      <c r="F68" s="58">
        <v>1</v>
      </c>
      <c r="G68" s="57">
        <v>1</v>
      </c>
      <c r="H68" s="57">
        <f t="shared" si="6"/>
        <v>1</v>
      </c>
      <c r="I68" s="57">
        <v>1</v>
      </c>
      <c r="J68" s="57">
        <v>1</v>
      </c>
      <c r="K68" s="57">
        <v>0</v>
      </c>
      <c r="L68" s="1502">
        <v>0</v>
      </c>
    </row>
    <row r="69" spans="1:13" ht="15.75" customHeight="1" thickBot="1">
      <c r="B69" s="65">
        <v>5273</v>
      </c>
      <c r="C69" s="64">
        <v>5137</v>
      </c>
      <c r="D69" s="64" t="s">
        <v>61</v>
      </c>
      <c r="E69" s="63" t="s">
        <v>66</v>
      </c>
      <c r="F69" s="58">
        <v>35</v>
      </c>
      <c r="G69" s="57">
        <v>31</v>
      </c>
      <c r="H69" s="57">
        <f t="shared" si="6"/>
        <v>31</v>
      </c>
      <c r="I69" s="57">
        <v>31</v>
      </c>
      <c r="J69" s="57">
        <v>31</v>
      </c>
      <c r="K69" s="57">
        <v>30</v>
      </c>
      <c r="L69" s="1502">
        <v>30</v>
      </c>
    </row>
    <row r="70" spans="1:13" ht="15.75" customHeight="1" thickBot="1">
      <c r="B70" s="65" t="s">
        <v>59</v>
      </c>
      <c r="C70" s="64" t="s">
        <v>65</v>
      </c>
      <c r="D70" s="64" t="s">
        <v>61</v>
      </c>
      <c r="E70" s="63" t="s">
        <v>64</v>
      </c>
      <c r="F70" s="58"/>
      <c r="G70" s="57">
        <v>0</v>
      </c>
      <c r="H70" s="57">
        <f t="shared" si="6"/>
        <v>0</v>
      </c>
      <c r="I70" s="57">
        <v>0</v>
      </c>
      <c r="J70" s="57">
        <v>100</v>
      </c>
      <c r="K70" s="57">
        <v>0</v>
      </c>
      <c r="L70" s="1502">
        <v>0</v>
      </c>
    </row>
    <row r="71" spans="1:13" ht="15.75" customHeight="1" thickBot="1">
      <c r="B71" s="65">
        <v>5273</v>
      </c>
      <c r="C71" s="64">
        <v>5139</v>
      </c>
      <c r="D71" s="64" t="s">
        <v>61</v>
      </c>
      <c r="E71" s="63" t="s">
        <v>63</v>
      </c>
      <c r="F71" s="58">
        <v>10</v>
      </c>
      <c r="G71" s="57">
        <v>10</v>
      </c>
      <c r="H71" s="57">
        <f t="shared" si="6"/>
        <v>10</v>
      </c>
      <c r="I71" s="57">
        <v>10</v>
      </c>
      <c r="J71" s="57">
        <v>10</v>
      </c>
      <c r="K71" s="57">
        <f>10+15</f>
        <v>25</v>
      </c>
      <c r="L71" s="1502">
        <f>10+15</f>
        <v>25</v>
      </c>
    </row>
    <row r="72" spans="1:13" ht="15.75" customHeight="1" thickBot="1">
      <c r="B72" s="65">
        <v>5273</v>
      </c>
      <c r="C72" s="64">
        <v>5162</v>
      </c>
      <c r="D72" s="64" t="s">
        <v>61</v>
      </c>
      <c r="E72" s="63" t="s">
        <v>62</v>
      </c>
      <c r="F72" s="58">
        <v>30</v>
      </c>
      <c r="G72" s="57">
        <v>30</v>
      </c>
      <c r="H72" s="57">
        <f t="shared" si="6"/>
        <v>30</v>
      </c>
      <c r="I72" s="57">
        <v>30</v>
      </c>
      <c r="J72" s="57">
        <v>30</v>
      </c>
      <c r="K72" s="57">
        <v>30</v>
      </c>
      <c r="L72" s="1502">
        <v>30</v>
      </c>
    </row>
    <row r="73" spans="1:13" ht="15.75" customHeight="1" thickBot="1">
      <c r="B73" s="65">
        <v>5273</v>
      </c>
      <c r="C73" s="61" t="s">
        <v>56</v>
      </c>
      <c r="D73" s="60">
        <v>4310</v>
      </c>
      <c r="E73" s="59" t="s">
        <v>55</v>
      </c>
      <c r="F73" s="58"/>
      <c r="G73" s="56"/>
      <c r="H73" s="57"/>
      <c r="I73" s="56">
        <v>0</v>
      </c>
      <c r="J73" s="56">
        <v>0</v>
      </c>
      <c r="K73" s="56">
        <v>145</v>
      </c>
      <c r="L73" s="1486">
        <v>145</v>
      </c>
    </row>
    <row r="74" spans="1:13" ht="15.75" customHeight="1" thickBot="1">
      <c r="B74" s="65">
        <v>5273</v>
      </c>
      <c r="C74" s="61" t="s">
        <v>54</v>
      </c>
      <c r="D74" s="60">
        <v>4310</v>
      </c>
      <c r="E74" s="59" t="s">
        <v>53</v>
      </c>
      <c r="F74" s="58"/>
      <c r="G74" s="56"/>
      <c r="H74" s="57"/>
      <c r="I74" s="56">
        <v>0</v>
      </c>
      <c r="J74" s="56">
        <v>0</v>
      </c>
      <c r="K74" s="56">
        <v>22</v>
      </c>
      <c r="L74" s="1486">
        <v>22</v>
      </c>
    </row>
    <row r="75" spans="1:13" ht="15.75" customHeight="1" thickBot="1">
      <c r="B75" s="62" t="s">
        <v>1540</v>
      </c>
      <c r="C75" s="61">
        <v>5199</v>
      </c>
      <c r="D75" s="60" t="s">
        <v>61</v>
      </c>
      <c r="E75" s="59" t="s">
        <v>60</v>
      </c>
      <c r="F75" s="58">
        <v>100</v>
      </c>
      <c r="G75" s="56">
        <v>100</v>
      </c>
      <c r="H75" s="57">
        <f t="shared" si="6"/>
        <v>100</v>
      </c>
      <c r="I75" s="56">
        <v>100</v>
      </c>
      <c r="J75" s="56">
        <v>100</v>
      </c>
      <c r="K75" s="56">
        <v>100</v>
      </c>
      <c r="L75" s="1486">
        <v>100</v>
      </c>
    </row>
    <row r="76" spans="1:13" ht="15.75" customHeight="1" thickBot="1">
      <c r="B76" s="62" t="s">
        <v>59</v>
      </c>
      <c r="C76" s="61" t="s">
        <v>58</v>
      </c>
      <c r="D76" s="60">
        <v>4310</v>
      </c>
      <c r="E76" s="59" t="s">
        <v>57</v>
      </c>
      <c r="F76" s="58"/>
      <c r="G76" s="56">
        <v>0</v>
      </c>
      <c r="H76" s="57">
        <f t="shared" si="6"/>
        <v>0</v>
      </c>
      <c r="I76" s="56">
        <v>0</v>
      </c>
      <c r="J76" s="56">
        <v>300</v>
      </c>
      <c r="K76" s="56">
        <v>0</v>
      </c>
      <c r="L76" s="1486">
        <v>0</v>
      </c>
    </row>
    <row r="77" spans="1:13" ht="15.75" customHeight="1" thickBot="1">
      <c r="A77" s="4">
        <v>532</v>
      </c>
      <c r="B77" s="1960" t="s">
        <v>49</v>
      </c>
      <c r="C77" s="1961"/>
      <c r="D77" s="1961"/>
      <c r="E77" s="1961"/>
      <c r="F77" s="55">
        <f>SUM(F65:F75)</f>
        <v>203</v>
      </c>
      <c r="G77" s="54">
        <f t="shared" ref="G77:L77" si="7">SUM(G65:G76)</f>
        <v>196</v>
      </c>
      <c r="H77" s="54">
        <f t="shared" si="7"/>
        <v>196</v>
      </c>
      <c r="I77" s="54">
        <f t="shared" si="7"/>
        <v>190</v>
      </c>
      <c r="J77" s="54">
        <f t="shared" si="7"/>
        <v>590</v>
      </c>
      <c r="K77" s="54">
        <f t="shared" si="7"/>
        <v>368</v>
      </c>
      <c r="L77" s="1362">
        <f t="shared" si="7"/>
        <v>368</v>
      </c>
    </row>
    <row r="78" spans="1:13" s="17" customFormat="1" ht="6" customHeight="1" thickTop="1" thickBot="1">
      <c r="A78" s="23"/>
      <c r="B78" s="22"/>
      <c r="C78" s="22"/>
      <c r="D78" s="21"/>
      <c r="E78" s="20"/>
      <c r="F78" s="18"/>
      <c r="G78" s="18"/>
      <c r="H78" s="18"/>
      <c r="I78" s="18"/>
      <c r="J78" s="18"/>
      <c r="K78" s="18"/>
      <c r="L78" s="18"/>
    </row>
    <row r="79" spans="1:13" s="46" customFormat="1" ht="15.75" customHeight="1" thickTop="1" thickBot="1">
      <c r="A79" s="10"/>
      <c r="B79" s="12"/>
      <c r="C79" s="12"/>
      <c r="D79" s="12"/>
      <c r="E79" s="15" t="s">
        <v>30</v>
      </c>
      <c r="F79" s="14" t="e">
        <f>SUM(F14,F26,#REF!,F32,#REF!,F36,F45:F45,F63:F64,F77)</f>
        <v>#REF!</v>
      </c>
      <c r="G79" s="13" t="e">
        <f>SUM(G14,G26,#REF!,G32,#REF!,G36,G45:G45,G63:G64,G77)</f>
        <v>#REF!</v>
      </c>
      <c r="H79" s="13" t="e">
        <f>SUM(H14,H26,#REF!,H32,#REF!,H36,H45:H45,H63:H64,H77)</f>
        <v>#REF!</v>
      </c>
      <c r="I79" s="13">
        <f>SUM(I14,I26,I32,I36,I40,I45,I63,I64,I77)</f>
        <v>131130</v>
      </c>
      <c r="J79" s="13">
        <f t="shared" ref="J79:K79" si="8">SUM(J14,J26,J32,J36,J40,J45,J63,J64,J77)</f>
        <v>138596.177</v>
      </c>
      <c r="K79" s="13">
        <f t="shared" si="8"/>
        <v>139987</v>
      </c>
      <c r="L79" s="13">
        <f t="shared" ref="L79" si="9">SUM(L14,L26,L32,L36,L40,L45,L63,L64,L77)</f>
        <v>139987</v>
      </c>
    </row>
    <row r="80" spans="1:13" s="46" customFormat="1" ht="15.75" hidden="1" customHeight="1" thickTop="1">
      <c r="A80" s="10"/>
      <c r="B80" s="12"/>
      <c r="C80" s="12"/>
      <c r="D80" s="12"/>
      <c r="E80" s="43"/>
      <c r="F80" s="42"/>
      <c r="G80" s="42"/>
      <c r="H80" s="42"/>
      <c r="I80" s="42"/>
      <c r="J80" s="42"/>
      <c r="K80" s="42"/>
      <c r="L80" s="42"/>
    </row>
    <row r="81" spans="1:12" s="46" customFormat="1" ht="15.75" hidden="1" customHeight="1">
      <c r="A81" s="10"/>
      <c r="B81" s="12"/>
      <c r="C81" s="12"/>
      <c r="D81" s="12"/>
      <c r="E81" s="43"/>
      <c r="F81" s="42"/>
      <c r="G81" s="42"/>
      <c r="H81" s="42"/>
      <c r="I81" s="42"/>
      <c r="J81" s="42"/>
      <c r="K81" s="42"/>
      <c r="L81" s="42"/>
    </row>
    <row r="82" spans="1:12" s="46" customFormat="1" ht="15.75" hidden="1" customHeight="1">
      <c r="A82" s="10"/>
      <c r="B82" s="12"/>
      <c r="C82" s="12"/>
      <c r="D82" s="12"/>
      <c r="E82" s="43"/>
      <c r="F82" s="42"/>
      <c r="G82" s="42"/>
      <c r="H82" s="42"/>
      <c r="I82" s="42"/>
      <c r="J82" s="42"/>
      <c r="K82" s="42"/>
      <c r="L82" s="42"/>
    </row>
    <row r="83" spans="1:12" s="46" customFormat="1" ht="15.75" hidden="1" customHeight="1" thickBot="1">
      <c r="A83" s="10"/>
      <c r="B83" s="12"/>
      <c r="C83" s="12"/>
      <c r="D83" s="12"/>
      <c r="E83" s="43"/>
      <c r="F83" s="42"/>
      <c r="G83" s="42"/>
      <c r="H83" s="42"/>
      <c r="I83" s="42"/>
      <c r="J83" s="42"/>
      <c r="K83" s="42"/>
      <c r="L83" s="42"/>
    </row>
    <row r="84" spans="1:12" s="46" customFormat="1" ht="15.75" hidden="1" customHeight="1" thickTop="1">
      <c r="A84" s="10"/>
      <c r="B84" s="41"/>
      <c r="C84" s="40"/>
      <c r="D84" s="39"/>
      <c r="E84" s="38"/>
      <c r="F84" s="37" t="s">
        <v>47</v>
      </c>
      <c r="G84" s="1974" t="s">
        <v>48</v>
      </c>
      <c r="H84" s="1977"/>
      <c r="I84" s="1974"/>
      <c r="J84" s="1974"/>
      <c r="K84" s="1974"/>
      <c r="L84" s="1709"/>
    </row>
    <row r="85" spans="1:12" s="46" customFormat="1" ht="15.75" hidden="1" customHeight="1">
      <c r="A85" s="10"/>
      <c r="B85" s="36" t="s">
        <v>42</v>
      </c>
      <c r="C85" s="35" t="s">
        <v>41</v>
      </c>
      <c r="D85" s="34" t="s">
        <v>40</v>
      </c>
      <c r="E85" s="33"/>
      <c r="F85" s="32" t="s">
        <v>39</v>
      </c>
      <c r="G85" s="1975"/>
      <c r="H85" s="1978"/>
      <c r="I85" s="1975"/>
      <c r="J85" s="1975"/>
      <c r="K85" s="1975"/>
      <c r="L85" s="1710"/>
    </row>
    <row r="86" spans="1:12" s="46" customFormat="1" ht="15.75" hidden="1" customHeight="1" thickBot="1">
      <c r="A86" s="10"/>
      <c r="B86" s="31"/>
      <c r="C86" s="30"/>
      <c r="D86" s="29"/>
      <c r="E86" s="28" t="s">
        <v>38</v>
      </c>
      <c r="F86" s="27" t="s">
        <v>37</v>
      </c>
      <c r="G86" s="1976"/>
      <c r="H86" s="1979"/>
      <c r="I86" s="1976"/>
      <c r="J86" s="1976"/>
      <c r="K86" s="1976"/>
      <c r="L86" s="1711"/>
    </row>
    <row r="87" spans="1:12" s="46" customFormat="1" ht="15.75" hidden="1" customHeight="1" thickTop="1" thickBot="1">
      <c r="A87" s="10">
        <v>601</v>
      </c>
      <c r="B87" s="53" t="s">
        <v>36</v>
      </c>
      <c r="C87" s="52" t="s">
        <v>35</v>
      </c>
      <c r="D87" s="52" t="s">
        <v>34</v>
      </c>
      <c r="E87" s="51" t="s">
        <v>33</v>
      </c>
      <c r="F87" s="50">
        <v>1595</v>
      </c>
      <c r="G87" s="49"/>
      <c r="H87" s="49"/>
      <c r="I87" s="49"/>
      <c r="J87" s="49"/>
      <c r="K87" s="49"/>
      <c r="L87" s="49"/>
    </row>
    <row r="88" spans="1:12" s="46" customFormat="1" ht="6" hidden="1" customHeight="1" thickBot="1">
      <c r="A88" s="10"/>
      <c r="B88" s="48"/>
      <c r="C88" s="48"/>
      <c r="D88" s="48"/>
      <c r="E88" s="43"/>
      <c r="F88" s="42"/>
      <c r="G88" s="42"/>
      <c r="H88" s="42"/>
      <c r="I88" s="42"/>
      <c r="J88" s="42"/>
      <c r="K88" s="42"/>
      <c r="L88" s="42"/>
    </row>
    <row r="89" spans="1:12" s="46" customFormat="1" ht="15.75" hidden="1" customHeight="1" thickTop="1" thickBot="1">
      <c r="A89" s="10"/>
      <c r="B89" s="16"/>
      <c r="C89" s="16"/>
      <c r="D89" s="16"/>
      <c r="E89" s="15" t="s">
        <v>32</v>
      </c>
      <c r="F89" s="13">
        <f>SUM(F87)</f>
        <v>1595</v>
      </c>
      <c r="G89" s="47">
        <f>SUM(G87:G87)</f>
        <v>0</v>
      </c>
      <c r="H89" s="47"/>
      <c r="I89" s="47"/>
      <c r="J89" s="47"/>
      <c r="K89" s="47"/>
      <c r="L89" s="47"/>
    </row>
    <row r="90" spans="1:12" s="46" customFormat="1" ht="10.5" hidden="1" customHeight="1" thickTop="1" thickBot="1">
      <c r="A90" s="10"/>
      <c r="B90" s="12"/>
      <c r="C90" s="12"/>
      <c r="D90" s="12"/>
      <c r="E90" s="12"/>
      <c r="F90" s="2"/>
      <c r="G90" s="2"/>
      <c r="H90" s="2"/>
      <c r="I90" s="2"/>
      <c r="J90" s="2"/>
      <c r="K90" s="2"/>
      <c r="L90" s="2"/>
    </row>
    <row r="91" spans="1:12" s="44" customFormat="1" ht="15.75" hidden="1" customHeight="1" thickTop="1" thickBot="1">
      <c r="A91" s="10"/>
      <c r="B91" s="9"/>
      <c r="C91" s="8"/>
      <c r="D91" s="8"/>
      <c r="E91" s="8" t="s">
        <v>31</v>
      </c>
      <c r="F91" s="7" t="e">
        <f>SUM(F79,F89)</f>
        <v>#REF!</v>
      </c>
      <c r="G91" s="45" t="e">
        <f>SUM(G79,G89)</f>
        <v>#REF!</v>
      </c>
      <c r="H91" s="45"/>
      <c r="I91" s="45"/>
      <c r="J91" s="45"/>
      <c r="K91" s="45"/>
      <c r="L91" s="45"/>
    </row>
    <row r="92" spans="1:12" ht="15.75" hidden="1" customHeight="1" thickTop="1"/>
    <row r="93" spans="1:12" ht="15" hidden="1" customHeight="1"/>
    <row r="94" spans="1:12" ht="15" hidden="1" customHeight="1"/>
    <row r="95" spans="1:12" ht="15" hidden="1" customHeight="1"/>
    <row r="96" spans="1:12" ht="15" hidden="1" customHeight="1"/>
    <row r="97" spans="1:12" ht="15.75" thickTop="1"/>
    <row r="99" spans="1:12">
      <c r="A99" s="10"/>
      <c r="B99" s="12"/>
      <c r="C99" s="12"/>
      <c r="D99" s="12"/>
      <c r="E99" s="43"/>
      <c r="F99" s="42"/>
      <c r="G99" s="42"/>
      <c r="H99" s="42"/>
      <c r="I99" s="42"/>
      <c r="J99" s="42"/>
      <c r="K99" s="42"/>
      <c r="L99" s="42"/>
    </row>
    <row r="100" spans="1:12">
      <c r="A100" s="10"/>
      <c r="B100" s="12"/>
      <c r="C100" s="12"/>
      <c r="D100" s="12"/>
      <c r="E100" s="43"/>
      <c r="F100" s="42"/>
      <c r="G100" s="42"/>
      <c r="H100" s="42"/>
      <c r="I100" s="42"/>
      <c r="J100" s="42"/>
      <c r="K100" s="42"/>
      <c r="L100" s="42"/>
    </row>
    <row r="101" spans="1:12" ht="15.75" thickBot="1">
      <c r="A101" s="10"/>
      <c r="B101" s="12"/>
      <c r="C101" s="12"/>
      <c r="D101" s="12"/>
      <c r="E101" s="43"/>
      <c r="F101" s="42"/>
      <c r="G101" s="42"/>
      <c r="H101" s="42"/>
      <c r="I101" s="42"/>
      <c r="J101" s="42"/>
      <c r="K101" s="42"/>
      <c r="L101" s="42"/>
    </row>
    <row r="102" spans="1:12" ht="15.75" customHeight="1" thickTop="1">
      <c r="A102" s="10"/>
      <c r="B102" s="41"/>
      <c r="C102" s="40"/>
      <c r="D102" s="39"/>
      <c r="E102" s="38"/>
      <c r="F102" s="37" t="s">
        <v>47</v>
      </c>
      <c r="G102" s="1965" t="s">
        <v>46</v>
      </c>
      <c r="H102" s="1965" t="s">
        <v>45</v>
      </c>
      <c r="I102" s="1962" t="s">
        <v>44</v>
      </c>
      <c r="J102" s="1962" t="s">
        <v>43</v>
      </c>
      <c r="K102" s="1962" t="s">
        <v>1487</v>
      </c>
      <c r="L102" s="1971" t="s">
        <v>1488</v>
      </c>
    </row>
    <row r="103" spans="1:12">
      <c r="A103" s="10"/>
      <c r="B103" s="36" t="s">
        <v>42</v>
      </c>
      <c r="C103" s="35" t="s">
        <v>41</v>
      </c>
      <c r="D103" s="34" t="s">
        <v>40</v>
      </c>
      <c r="E103" s="33"/>
      <c r="F103" s="32" t="s">
        <v>39</v>
      </c>
      <c r="G103" s="1966"/>
      <c r="H103" s="1966"/>
      <c r="I103" s="1963"/>
      <c r="J103" s="1963"/>
      <c r="K103" s="1963"/>
      <c r="L103" s="1972"/>
    </row>
    <row r="104" spans="1:12" ht="15.75" thickBot="1">
      <c r="A104" s="10"/>
      <c r="B104" s="31"/>
      <c r="C104" s="30"/>
      <c r="D104" s="29"/>
      <c r="E104" s="28" t="s">
        <v>38</v>
      </c>
      <c r="F104" s="27" t="s">
        <v>37</v>
      </c>
      <c r="G104" s="1967"/>
      <c r="H104" s="1967"/>
      <c r="I104" s="1964"/>
      <c r="J104" s="1964"/>
      <c r="K104" s="1964"/>
      <c r="L104" s="1973"/>
    </row>
    <row r="105" spans="1:12" ht="16.5" thickTop="1" thickBot="1">
      <c r="A105" s="10">
        <v>602</v>
      </c>
      <c r="B105" s="26" t="s">
        <v>36</v>
      </c>
      <c r="C105" s="25" t="s">
        <v>35</v>
      </c>
      <c r="D105" s="25" t="s">
        <v>34</v>
      </c>
      <c r="E105" s="24" t="s">
        <v>33</v>
      </c>
      <c r="F105" s="7">
        <v>1595</v>
      </c>
      <c r="G105" s="6">
        <v>1800</v>
      </c>
      <c r="H105" s="6">
        <f>G105-60+250</f>
        <v>1990</v>
      </c>
      <c r="I105" s="6">
        <v>1400</v>
      </c>
      <c r="J105" s="6">
        <f>I105-150</f>
        <v>1250</v>
      </c>
      <c r="K105" s="6">
        <v>0</v>
      </c>
      <c r="L105" s="45">
        <v>0</v>
      </c>
    </row>
    <row r="106" spans="1:12" s="17" customFormat="1" ht="6" customHeight="1" thickTop="1" thickBot="1">
      <c r="A106" s="23"/>
      <c r="B106" s="22"/>
      <c r="C106" s="22"/>
      <c r="D106" s="21"/>
      <c r="E106" s="20"/>
      <c r="F106" s="18"/>
      <c r="G106" s="18"/>
      <c r="H106" s="19"/>
      <c r="I106" s="18"/>
      <c r="J106" s="18"/>
      <c r="K106" s="18"/>
      <c r="L106" s="18"/>
    </row>
    <row r="107" spans="1:12" ht="16.5" thickTop="1" thickBot="1">
      <c r="A107" s="10"/>
      <c r="B107" s="16"/>
      <c r="C107" s="16"/>
      <c r="D107" s="16"/>
      <c r="E107" s="15" t="s">
        <v>32</v>
      </c>
      <c r="F107" s="13">
        <f>SUM(F105:F105)</f>
        <v>1595</v>
      </c>
      <c r="G107" s="14">
        <f>SUM(G105:G105)</f>
        <v>1800</v>
      </c>
      <c r="H107" s="14">
        <f>SUM(H105:H105)</f>
        <v>1990</v>
      </c>
      <c r="I107" s="14">
        <f>SUM(I105:I105)</f>
        <v>1400</v>
      </c>
      <c r="J107" s="14">
        <f>SUM(J105:J105)</f>
        <v>1250</v>
      </c>
      <c r="K107" s="14">
        <f>K105</f>
        <v>0</v>
      </c>
      <c r="L107" s="47">
        <f>L105</f>
        <v>0</v>
      </c>
    </row>
    <row r="108" spans="1:12" ht="7.5" customHeight="1" thickTop="1" thickBot="1">
      <c r="A108" s="10"/>
      <c r="B108" s="12"/>
      <c r="C108" s="12"/>
      <c r="D108" s="12"/>
      <c r="E108" s="12"/>
      <c r="H108" s="11"/>
    </row>
    <row r="109" spans="1:12" ht="16.5" thickTop="1" thickBot="1">
      <c r="A109" s="10"/>
      <c r="B109" s="9"/>
      <c r="C109" s="8"/>
      <c r="D109" s="8"/>
      <c r="E109" s="8" t="s">
        <v>31</v>
      </c>
      <c r="F109" s="7" t="e">
        <f t="shared" ref="F109:K109" si="10">SUM(F79,F107)</f>
        <v>#REF!</v>
      </c>
      <c r="G109" s="6" t="e">
        <f t="shared" si="10"/>
        <v>#REF!</v>
      </c>
      <c r="H109" s="6" t="e">
        <f t="shared" si="10"/>
        <v>#REF!</v>
      </c>
      <c r="I109" s="6">
        <f t="shared" si="10"/>
        <v>132530</v>
      </c>
      <c r="J109" s="6">
        <f t="shared" si="10"/>
        <v>139846.177</v>
      </c>
      <c r="K109" s="6">
        <f t="shared" si="10"/>
        <v>139987</v>
      </c>
      <c r="L109" s="45">
        <f t="shared" ref="L109" si="11">SUM(L79,L107)</f>
        <v>139987</v>
      </c>
    </row>
    <row r="110" spans="1:12" ht="15.75" thickTop="1">
      <c r="A110" s="1"/>
      <c r="B110" s="1"/>
      <c r="C110" s="1"/>
      <c r="D110" s="1"/>
      <c r="E110" s="1"/>
      <c r="F110" s="1"/>
      <c r="G110" s="1"/>
      <c r="H110" s="1"/>
      <c r="I110" s="5"/>
      <c r="J110" s="5"/>
      <c r="K110" s="5"/>
      <c r="L110" s="5"/>
    </row>
  </sheetData>
  <mergeCells count="25">
    <mergeCell ref="L4:L6"/>
    <mergeCell ref="L102:L104"/>
    <mergeCell ref="G102:G104"/>
    <mergeCell ref="H102:H104"/>
    <mergeCell ref="I102:I104"/>
    <mergeCell ref="J102:J104"/>
    <mergeCell ref="K84:K86"/>
    <mergeCell ref="K102:K104"/>
    <mergeCell ref="G84:G86"/>
    <mergeCell ref="H84:H86"/>
    <mergeCell ref="I84:I86"/>
    <mergeCell ref="J84:J86"/>
    <mergeCell ref="B36:E36"/>
    <mergeCell ref="B40:E40"/>
    <mergeCell ref="B45:E45"/>
    <mergeCell ref="B63:E63"/>
    <mergeCell ref="B77:E77"/>
    <mergeCell ref="B14:E14"/>
    <mergeCell ref="K4:K6"/>
    <mergeCell ref="B26:E26"/>
    <mergeCell ref="B32:E32"/>
    <mergeCell ref="G4:G6"/>
    <mergeCell ref="H4:H6"/>
    <mergeCell ref="I4:I6"/>
    <mergeCell ref="J4:J6"/>
  </mergeCells>
  <printOptions horizontalCentered="1"/>
  <pageMargins left="0.78740157480314965" right="0.78740157480314965" top="0.78740157480314965" bottom="0.78740157480314965" header="0.39370078740157483" footer="0.39370078740157483"/>
  <pageSetup paperSize="9" scale="94" firstPageNumber="51" orientation="portrait" useFirstPageNumber="1" r:id="rId1"/>
  <headerFooter>
    <oddHeader>&amp;C&amp;"+,Tučné"II. Rozpis rozpočtu</oddHeader>
    <oddFooter>&amp;C &amp;P</oddFooter>
  </headerFooter>
  <rowBreaks count="1" manualBreakCount="1">
    <brk id="64" min="1" max="11" man="1"/>
  </rowBreaks>
  <ignoredErrors>
    <ignoredError sqref="B105:D105 D7:D13 D15:D25 B46:D62 D64:D76 B64:C74 B76:C76 C75" numberStoredAsText="1"/>
    <ignoredError sqref="I36:I45 K6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26</vt:i4>
      </vt:variant>
      <vt:variant>
        <vt:lpstr>Pojmenované oblasti</vt:lpstr>
      </vt:variant>
      <vt:variant>
        <vt:i4>33</vt:i4>
      </vt:variant>
    </vt:vector>
  </HeadingPairs>
  <TitlesOfParts>
    <vt:vector size="59" baseType="lpstr">
      <vt:lpstr>výhled 2014 V8</vt:lpstr>
      <vt:lpstr>Inv.a neinv.akce 2014</vt:lpstr>
      <vt:lpstr>str. 1_celk.rekap</vt:lpstr>
      <vt:lpstr>Příjmy 2014 </vt:lpstr>
      <vt:lpstr>graf-příjmy</vt:lpstr>
      <vt:lpstr>Rekapit.závaz.ukazatelů</vt:lpstr>
      <vt:lpstr>Nové závazné ukazatele 2014</vt:lpstr>
      <vt:lpstr>Rekapit.odbory</vt:lpstr>
      <vt:lpstr>OKT</vt:lpstr>
      <vt:lpstr>OŽP</vt:lpstr>
      <vt:lpstr>OD</vt:lpstr>
      <vt:lpstr>OPP</vt:lpstr>
      <vt:lpstr>PRÁV</vt:lpstr>
      <vt:lpstr>ObŽÚ</vt:lpstr>
      <vt:lpstr>OVV</vt:lpstr>
      <vt:lpstr>MP</vt:lpstr>
      <vt:lpstr>OIT</vt:lpstr>
      <vt:lpstr>OKŠT</vt:lpstr>
      <vt:lpstr>OSV </vt:lpstr>
      <vt:lpstr>OSD</vt:lpstr>
      <vt:lpstr>ORI </vt:lpstr>
      <vt:lpstr>ÚÚPaSÚ</vt:lpstr>
      <vt:lpstr>OMM</vt:lpstr>
      <vt:lpstr>OFE </vt:lpstr>
      <vt:lpstr>OKP</vt:lpstr>
      <vt:lpstr>OT</vt:lpstr>
      <vt:lpstr>'Nové závazné ukazatele 2014'!Názvy_tisku</vt:lpstr>
      <vt:lpstr>OIT!Názvy_tisku</vt:lpstr>
      <vt:lpstr>OKP!Názvy_tisku</vt:lpstr>
      <vt:lpstr>OKŠT!Názvy_tisku</vt:lpstr>
      <vt:lpstr>OKT!Názvy_tisku</vt:lpstr>
      <vt:lpstr>OMM!Názvy_tisku</vt:lpstr>
      <vt:lpstr>'ORI '!Názvy_tisku</vt:lpstr>
      <vt:lpstr>'OSV '!Názvy_tisku</vt:lpstr>
      <vt:lpstr>'Příjmy 2014 '!Názvy_tisku</vt:lpstr>
      <vt:lpstr>'graf-příjmy'!Oblast_tisku</vt:lpstr>
      <vt:lpstr>'Inv.a neinv.akce 2014'!Oblast_tisku</vt:lpstr>
      <vt:lpstr>MP!Oblast_tisku</vt:lpstr>
      <vt:lpstr>'Nové závazné ukazatele 2014'!Oblast_tisku</vt:lpstr>
      <vt:lpstr>ObŽÚ!Oblast_tisku</vt:lpstr>
      <vt:lpstr>OD!Oblast_tisku</vt:lpstr>
      <vt:lpstr>'OFE '!Oblast_tisku</vt:lpstr>
      <vt:lpstr>OIT!Oblast_tisku</vt:lpstr>
      <vt:lpstr>OKP!Oblast_tisku</vt:lpstr>
      <vt:lpstr>OKŠT!Oblast_tisku</vt:lpstr>
      <vt:lpstr>OKT!Oblast_tisku</vt:lpstr>
      <vt:lpstr>OMM!Oblast_tisku</vt:lpstr>
      <vt:lpstr>OPP!Oblast_tisku</vt:lpstr>
      <vt:lpstr>'ORI '!Oblast_tisku</vt:lpstr>
      <vt:lpstr>OSD!Oblast_tisku</vt:lpstr>
      <vt:lpstr>'OSV '!Oblast_tisku</vt:lpstr>
      <vt:lpstr>OT!Oblast_tisku</vt:lpstr>
      <vt:lpstr>OVV!Oblast_tisku</vt:lpstr>
      <vt:lpstr>OŽP!Oblast_tisku</vt:lpstr>
      <vt:lpstr>PRÁV!Oblast_tisku</vt:lpstr>
      <vt:lpstr>'Příjmy 2014 '!Oblast_tisku</vt:lpstr>
      <vt:lpstr>Rekapit.odbory!Oblast_tisku</vt:lpstr>
      <vt:lpstr>ÚÚPaSÚ!Oblast_tisku</vt:lpstr>
      <vt:lpstr>'výhled 2014 V8'!Oblast_tisku</vt:lpstr>
    </vt:vector>
  </TitlesOfParts>
  <Company>Magistrát města Karlovy Vary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oriabinec</dc:creator>
  <cp:lastModifiedBy>smutná</cp:lastModifiedBy>
  <cp:lastPrinted>2014-01-20T09:21:22Z</cp:lastPrinted>
  <dcterms:created xsi:type="dcterms:W3CDTF">2012-07-03T10:43:10Z</dcterms:created>
  <dcterms:modified xsi:type="dcterms:W3CDTF">2014-02-03T08:41:29Z</dcterms:modified>
</cp:coreProperties>
</file>